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65491" windowWidth="15600" windowHeight="9240" tabRatio="700" activeTab="0"/>
  </bookViews>
  <sheets>
    <sheet name="Москва и М.О." sheetId="1" r:id="rId1"/>
    <sheet name="1" sheetId="2" state="hidden" r:id="rId2"/>
    <sheet name="Лист1" sheetId="3" r:id="rId3"/>
  </sheets>
  <definedNames>
    <definedName name="_Toc174181606" localSheetId="0">'Москва и М.О.'!#REF!</definedName>
    <definedName name="_xlnm._FilterDatabase" localSheetId="0" hidden="1">'Москва и М.О.'!$B$7:$M$425</definedName>
    <definedName name="A123695">'1'!$A$1</definedName>
    <definedName name="Z_36190236_00F1_41BF_B838_1AAFBFF3371D_.wvu.FilterData" localSheetId="0" hidden="1">'Москва и М.О.'!$B$7:$M$425</definedName>
    <definedName name="Z_36190236_00F1_41BF_B838_1AAFBFF3371D_.wvu.PrintTitles" localSheetId="0" hidden="1">'Москва и М.О.'!$7:$7</definedName>
    <definedName name="Z_36190236_00F1_41BF_B838_1AAFBFF3371D_.wvu.Rows" localSheetId="0" hidden="1">'Москва и М.О.'!$3:$3,'Москва и М.О.'!#REF!,'Москва и М.О.'!$6:$6</definedName>
    <definedName name="Z_5D7485C6_A44F_4794_9CCA_F5ABA372F10E_.wvu.FilterData" localSheetId="0" hidden="1">'Москва и М.О.'!$B$7:$M$425</definedName>
    <definedName name="Z_5D7485C6_A44F_4794_9CCA_F5ABA372F10E_.wvu.PrintTitles" localSheetId="0" hidden="1">'Москва и М.О.'!$7:$7</definedName>
    <definedName name="Z_5D7485C6_A44F_4794_9CCA_F5ABA372F10E_.wvu.Rows" localSheetId="0" hidden="1">'Москва и М.О.'!$3:$3,'Москва и М.О.'!#REF!,'Москва и М.О.'!$6:$6</definedName>
    <definedName name="Z_7B7BE441_0BFA_4208_BDFA_F6164C4D3B8D_.wvu.FilterData" localSheetId="0" hidden="1">'Москва и М.О.'!$B$7:$M$425</definedName>
    <definedName name="Z_7B7BE441_0BFA_4208_BDFA_F6164C4D3B8D_.wvu.PrintTitles" localSheetId="0" hidden="1">'Москва и М.О.'!$7:$7</definedName>
    <definedName name="Z_7B7BE441_0BFA_4208_BDFA_F6164C4D3B8D_.wvu.Rows" localSheetId="0" hidden="1">'Москва и М.О.'!$3:$3,'Москва и М.О.'!#REF!,'Москва и М.О.'!$6:$6</definedName>
    <definedName name="_xlnm.Print_Titles" localSheetId="0">'Москва и М.О.'!$7:$7</definedName>
  </definedNames>
  <calcPr fullCalcOnLoad="1"/>
</workbook>
</file>

<file path=xl/sharedStrings.xml><?xml version="1.0" encoding="utf-8"?>
<sst xmlns="http://schemas.openxmlformats.org/spreadsheetml/2006/main" count="2661" uniqueCount="709">
  <si>
    <t>М.О. - З</t>
  </si>
  <si>
    <t>Список</t>
  </si>
  <si>
    <t>Бренд</t>
  </si>
  <si>
    <t>М.О. - СЗ</t>
  </si>
  <si>
    <t>М.О. - С</t>
  </si>
  <si>
    <t>М.О. - СВ</t>
  </si>
  <si>
    <t>М.О. - В</t>
  </si>
  <si>
    <t>М.О. - ЮВ</t>
  </si>
  <si>
    <t>Республика Коми</t>
  </si>
  <si>
    <t>Всего АНГКС  -</t>
  </si>
  <si>
    <t>Кол-во АГНКС</t>
  </si>
  <si>
    <t>Итого</t>
  </si>
  <si>
    <t>5/17/</t>
  </si>
  <si>
    <t>Автомойки</t>
  </si>
  <si>
    <t>Всего -</t>
  </si>
  <si>
    <t>Кол-во моек</t>
  </si>
  <si>
    <t>Кутузовский пр-т., 50</t>
  </si>
  <si>
    <t>Челябинская обл.</t>
  </si>
  <si>
    <t xml:space="preserve">МКАД  46 км. вл. 6 (внутренняя сторона)                                         </t>
  </si>
  <si>
    <t xml:space="preserve"> 94 км.  М-2 «Крым»  Москва-Симферополь (правая сторона) Серпуховский район,</t>
  </si>
  <si>
    <t>108 км АД «Россия»  Москва-С.-Петербург  (правая сторона) Клинский р-н</t>
  </si>
  <si>
    <t>108 км АД «Россия»  Москва-С.-Петербург  (левая сторона) Клинский р-н</t>
  </si>
  <si>
    <t>92 км шоссе "Москва-С.-Петербург" (правая сторона) Клинский р-н</t>
  </si>
  <si>
    <t>96 км шоссе "Москва-С.-Петербург" (левая сторона) Клинский р-н</t>
  </si>
  <si>
    <t>Клинский р-н,МБК Волоколамско-Ленинградское шоссе, 39 км, с.Лаврово, слева</t>
  </si>
  <si>
    <t>г.Дмитров, ул.Профессиональная, вл.185</t>
  </si>
  <si>
    <t>г.Пушкино,Ярославское ш., 187</t>
  </si>
  <si>
    <t xml:space="preserve">г.Реутов, Транспортный пер., вл. 6 </t>
  </si>
  <si>
    <t>Щелково,Фряновское ш. пос. РТС Щелковский р-н,</t>
  </si>
  <si>
    <t>г.Егорьевск, Коломенское ш. д.13</t>
  </si>
  <si>
    <t>г.Коломна,ул.  Митяево, д.1</t>
  </si>
  <si>
    <t xml:space="preserve">Генерала Тюленева, вл. 14, стр.1                                             </t>
  </si>
  <si>
    <t>Дмитрия Ульянова, д.9А, стр.1</t>
  </si>
  <si>
    <t>Калужское ш., 1км.от МКАД, д.Мамыри</t>
  </si>
  <si>
    <t>ТД(Гейн ойл- трейдинг)</t>
  </si>
  <si>
    <t>г.Подольск, пр-т Юных Ленинцев, д.1"б"</t>
  </si>
  <si>
    <t>Иркутская обл.</t>
  </si>
  <si>
    <t>Проспект Андропова, вл.10</t>
  </si>
  <si>
    <t>Наметкина, д.10В</t>
  </si>
  <si>
    <t>МКАД, 34 км, вл.7, стр.1, 2, 3 (внешняя сторона) Северное Бутово</t>
  </si>
  <si>
    <t>Ивана Франко, вл. 24</t>
  </si>
  <si>
    <t>Дмитровское ш., напротив вл. 21, стр.1</t>
  </si>
  <si>
    <t>МКАД, 83-й км,д.14</t>
  </si>
  <si>
    <t>Барклая ул., д.1Ж</t>
  </si>
  <si>
    <t>37.569584,55.737644</t>
  </si>
  <si>
    <t>Яна Райниса б-р, 49, корп. 1</t>
  </si>
  <si>
    <t>САО</t>
  </si>
  <si>
    <t xml:space="preserve">     Северный  административный  округ(САО), г. Москва</t>
  </si>
  <si>
    <t>Беговая, д.2А, стр. 1</t>
  </si>
  <si>
    <t>Беломорская, 2А, стр. 1</t>
  </si>
  <si>
    <t>Бутырская д.2а, стр 1</t>
  </si>
  <si>
    <t>Выборгская, вл. 24</t>
  </si>
  <si>
    <t>Дмитровское ш. 11б</t>
  </si>
  <si>
    <t>Дмитровское ш., 124Д</t>
  </si>
  <si>
    <t>Дмитровское ш., 30А</t>
  </si>
  <si>
    <t>ВТК</t>
  </si>
  <si>
    <t>Ленинградская обл.</t>
  </si>
  <si>
    <t xml:space="preserve">г.Троицк, Калужское шоссе 40 км.                                      </t>
  </si>
  <si>
    <t>А-76/80</t>
  </si>
  <si>
    <t>Аи-92</t>
  </si>
  <si>
    <t>Аи-95</t>
  </si>
  <si>
    <t>Аи-98</t>
  </si>
  <si>
    <t>ТНК-Pulsar</t>
  </si>
  <si>
    <t>Газ</t>
  </si>
  <si>
    <t>Калужская обл.</t>
  </si>
  <si>
    <t>г.Москва и МО</t>
  </si>
  <si>
    <t>Регионы</t>
  </si>
  <si>
    <t>За пределами Р.Ф.</t>
  </si>
  <si>
    <t>№ п/п</t>
  </si>
  <si>
    <t>Кол-во АЗС</t>
  </si>
  <si>
    <t>Итого:</t>
  </si>
  <si>
    <t>М.О. - Ю</t>
  </si>
  <si>
    <t>М.О. - ЮЗ</t>
  </si>
  <si>
    <t>г.Пушкино, 1 км. Акуловское шоссе</t>
  </si>
  <si>
    <t>г.Серпухов, Чернышевского, д.41</t>
  </si>
  <si>
    <t>Башкортостан</t>
  </si>
  <si>
    <t>Новаторрус</t>
  </si>
  <si>
    <t>Доверие и Удача</t>
  </si>
  <si>
    <t>ТК Петролекс</t>
  </si>
  <si>
    <t>Дмитровское ш., д.58 "а"</t>
  </si>
  <si>
    <t>Зеленоградская , вл. 16</t>
  </si>
  <si>
    <t>Ленинградский проспект, д.45А, стр. 1</t>
  </si>
  <si>
    <t>Ленинградское ш., вл. 77 "а"</t>
  </si>
  <si>
    <t>МО-С</t>
  </si>
  <si>
    <t>Маршала Неделина, вл.18</t>
  </si>
  <si>
    <t>Новоясеневский пр-д., 2</t>
  </si>
  <si>
    <t>Обручева ул., 25А</t>
  </si>
  <si>
    <t>МО-З</t>
  </si>
  <si>
    <t>ЗАПАДНЫЙ сектор (МО-З), Московской области</t>
  </si>
  <si>
    <t>МНК-Газозаправка</t>
  </si>
  <si>
    <t>Дорожная, вл. 15А</t>
  </si>
  <si>
    <t>Дуговая, д.1</t>
  </si>
  <si>
    <t>МКАД,16 км, вл.4, внутр.сторона</t>
  </si>
  <si>
    <t>МКАД,31 км, внешняя сторона</t>
  </si>
  <si>
    <t xml:space="preserve">Мичуринский проспект, вл. 21А     </t>
  </si>
  <si>
    <t>Южное Бутово, ул.Шоссейная,д.1А</t>
  </si>
  <si>
    <t>г.Кашира, Каширский проспект,д.7</t>
  </si>
  <si>
    <t>д.Лаговское, 52 км. ФАД М-2 «Крым»   Москва-Симферополь (левая сторона)  М.О. Подольский р.</t>
  </si>
  <si>
    <t>Наро-Фоминский р-н,44 км+300м Киевского шоссе,г.Апрелевка, справа</t>
  </si>
  <si>
    <t>г. Одинцово,24 км. ФАД М-1 «Беларусь» (левая сторона) Одинцовский р-он</t>
  </si>
  <si>
    <t xml:space="preserve">     Северо-Западный административный  округ (СЗАО), г. Москва</t>
  </si>
  <si>
    <t>Ак.Курчатова, д.10 (перес с Волоколамским шоссе)</t>
  </si>
  <si>
    <t>Волоколамское ш., 122</t>
  </si>
  <si>
    <t>Маршала Бирюзова, 1</t>
  </si>
  <si>
    <t>г.Коломна пр. Станкостроителей, д11А</t>
  </si>
  <si>
    <t>Андропова пр-т, д.10,к.1</t>
  </si>
  <si>
    <t>№ Petrol  [№эмитента, №филиала, №ТО] или название</t>
  </si>
  <si>
    <t>Орловская обл.</t>
  </si>
  <si>
    <t>Пензенская обл.</t>
  </si>
  <si>
    <t>Красных Зорь, стр.12</t>
  </si>
  <si>
    <t>Крылатские Холмы, вл.40</t>
  </si>
  <si>
    <t>ЗАО</t>
  </si>
  <si>
    <t xml:space="preserve">     Западный административный округ (ЗАО), г. Москва</t>
  </si>
  <si>
    <t xml:space="preserve">Барклая, вл. 26                                                                    </t>
  </si>
  <si>
    <t>Бережковская наб., 30А</t>
  </si>
  <si>
    <t xml:space="preserve">Большая Очаковская, вл. 47Б                                          </t>
  </si>
  <si>
    <t>Веерная ул., вл. 1А</t>
  </si>
  <si>
    <t>Верейская ул., вл. 33</t>
  </si>
  <si>
    <t>Вернадского, пр-кт, д.100А</t>
  </si>
  <si>
    <t>Генерала Дорохова ул., 8</t>
  </si>
  <si>
    <t>Горбунова ул., вл. 2А</t>
  </si>
  <si>
    <t>Горбунова, д.12</t>
  </si>
  <si>
    <t>СВАО</t>
  </si>
  <si>
    <t>Хакасия</t>
  </si>
  <si>
    <t>Автолюкс</t>
  </si>
  <si>
    <t>Лобачевского, 92а</t>
  </si>
  <si>
    <t>Коровинское ш., д.1в</t>
  </si>
  <si>
    <t>Амурская, д.15, стр.1</t>
  </si>
  <si>
    <t>Люблинская, 12 стр.2</t>
  </si>
  <si>
    <t>Зеленоград, ВКЗ Сосновая ал.</t>
  </si>
  <si>
    <t>Огородный проезд, 7</t>
  </si>
  <si>
    <t xml:space="preserve">     Северо-Восточный  административный  округ (СВАО), г.Москва</t>
  </si>
  <si>
    <t>89 км. МКАД  вл. 12 (внутр. сторона)</t>
  </si>
  <si>
    <t>Абрамцевская, д.28</t>
  </si>
  <si>
    <t>Алтуфьевское ш, вл. 106</t>
  </si>
  <si>
    <t>Ярославское ш., д.1а</t>
  </si>
  <si>
    <t>Кутузовский проспект, вл.52</t>
  </si>
  <si>
    <t>Кутузовский проспект, вл.55</t>
  </si>
  <si>
    <t>Псковская обл.</t>
  </si>
  <si>
    <t>№ АЗК/АЗС</t>
  </si>
  <si>
    <t>Обручева, вл. 26-30</t>
  </si>
  <si>
    <t>Севастопольский пр-т, 95</t>
  </si>
  <si>
    <t>21 км. МКАД  (внутр.сторона)</t>
  </si>
  <si>
    <t>Курская обл.</t>
  </si>
  <si>
    <t>Компания</t>
  </si>
  <si>
    <t>Варшавское ш., 148</t>
  </si>
  <si>
    <t>Тамбовская обл.</t>
  </si>
  <si>
    <t xml:space="preserve">Пятницкое ш., вл. 51                                                    </t>
  </si>
  <si>
    <t>Тверская обл.</t>
  </si>
  <si>
    <t xml:space="preserve">Нижняя, д.12, стр.. 1                                                                    </t>
  </si>
  <si>
    <t>Фестивальная, вл.  6А, стр. 1</t>
  </si>
  <si>
    <t>Бурятия</t>
  </si>
  <si>
    <t>Владимирская обл.</t>
  </si>
  <si>
    <t>Забайкальский край</t>
  </si>
  <si>
    <t>Ивановская обл.</t>
  </si>
  <si>
    <t>Походный проезд, д.22</t>
  </si>
  <si>
    <t>МО-ЮВ</t>
  </si>
  <si>
    <t>ЮГО-ВОСТОЧНЫЙ сектор (МО-ЮВ), Московской области</t>
  </si>
  <si>
    <t>Лихачевское ш. вл.13 Химкинский р-н,</t>
  </si>
  <si>
    <t>Международное шоссе Шереметьево - 2 (въезд) Химкинский р-н,</t>
  </si>
  <si>
    <t>г.Щелково, Восточная промзона, р-н Насосного завода</t>
  </si>
  <si>
    <t>Обручева ул., вл. 23А, стр. 1</t>
  </si>
  <si>
    <t>Обручева, 42А</t>
  </si>
  <si>
    <t xml:space="preserve">Поляны, вл. 3В                                                                        </t>
  </si>
  <si>
    <t>Профсоюзная 131в (у поста ГАИ)</t>
  </si>
  <si>
    <t>Мосфильмовская, соор.74 "а" (Минская)</t>
  </si>
  <si>
    <t>Новоорловская ул., напротив вл. 4</t>
  </si>
  <si>
    <t>Озерная, д.33</t>
  </si>
  <si>
    <t xml:space="preserve">Осенняя, вл. 23Б                                                                   </t>
  </si>
  <si>
    <t>Островитянинова, вл. 1 "б"</t>
  </si>
  <si>
    <t>Рябиновая, д.12</t>
  </si>
  <si>
    <t>Патр</t>
  </si>
  <si>
    <t>СЗАО</t>
  </si>
  <si>
    <t>Ярославское ш., 113/2</t>
  </si>
  <si>
    <t>ВАО</t>
  </si>
  <si>
    <t xml:space="preserve">     Восточный административный  округ (ВАО), г.Москва</t>
  </si>
  <si>
    <t>5-я Сокольническая , 16</t>
  </si>
  <si>
    <t xml:space="preserve">Амурская , вл. 11, стр.  1                                                                </t>
  </si>
  <si>
    <t>Буракова ,  вл. 1, стр. 1</t>
  </si>
  <si>
    <t>СЕВЕРНЫЙ сектор (МО-С), Московской области</t>
  </si>
  <si>
    <t>г.Волоколамск,  Ленина, 43а</t>
  </si>
  <si>
    <t>Ленинский пр-кт, вл. 142А</t>
  </si>
  <si>
    <t xml:space="preserve">Лобачевского ул., 112А </t>
  </si>
  <si>
    <t xml:space="preserve">     Юго-Восточный  административный  округ (ЮВАО), г.Москва</t>
  </si>
  <si>
    <t>1-й Угрешский проезд, владение 10</t>
  </si>
  <si>
    <t>2-ая Машиностроения, 8 Печатники</t>
  </si>
  <si>
    <t>Задонский пр-д, д.9, корп.9</t>
  </si>
  <si>
    <t>Каширское ш, вл. 22А</t>
  </si>
  <si>
    <t>Каширское ш. 57</t>
  </si>
  <si>
    <t>Белгородская обл.</t>
  </si>
  <si>
    <t>Ставропольский край</t>
  </si>
  <si>
    <t>Вологодская обл.</t>
  </si>
  <si>
    <t>Псковнефтепр</t>
  </si>
  <si>
    <t>Курганская обл.</t>
  </si>
  <si>
    <t>Костромская обл.</t>
  </si>
  <si>
    <t>г.Москва</t>
  </si>
  <si>
    <t>Тыва</t>
  </si>
  <si>
    <t>Тюменская обл.</t>
  </si>
  <si>
    <t>д.Лаговское, 52 км. ФАД М-2 «Крым»   Москва-Симферополь (правая сторона) Подольский район</t>
  </si>
  <si>
    <t>Калмыкия</t>
  </si>
  <si>
    <t>Липецкая обл.</t>
  </si>
  <si>
    <t xml:space="preserve">г.Егорьевск,  Советская, дом 2Б </t>
  </si>
  <si>
    <t xml:space="preserve">г.Зарайск,  Московская, дом 8 </t>
  </si>
  <si>
    <t>г.Климовск, Первомайская</t>
  </si>
  <si>
    <t>Ассирия</t>
  </si>
  <si>
    <t>Канда</t>
  </si>
  <si>
    <t>Доверие и удача</t>
  </si>
  <si>
    <t>Интеграл М</t>
  </si>
  <si>
    <t>Фирма ОЛА</t>
  </si>
  <si>
    <t>Нижегородская обл.</t>
  </si>
  <si>
    <t>Ханты-Мансийский АО</t>
  </si>
  <si>
    <t>Свердловская обл.</t>
  </si>
  <si>
    <t>Марий Эл</t>
  </si>
  <si>
    <t>Московская область</t>
  </si>
  <si>
    <t>МО-Ю</t>
  </si>
  <si>
    <t>ЮЖНЫЙ сектор (МО-Ю), Московской области</t>
  </si>
  <si>
    <t xml:space="preserve"> 94 км. М-2 «Крым»   Москва-Симферополь (левая сторона) Серпуховский район,</t>
  </si>
  <si>
    <t>Татнефть</t>
  </si>
  <si>
    <t>Волховский переулок, соор.27 (АЗС Лефортово)</t>
  </si>
  <si>
    <t xml:space="preserve">Гаврикова, д.4, стр.1                                                              </t>
  </si>
  <si>
    <t>16 км Боровского шоссе Наро-Фоминский р-н,</t>
  </si>
  <si>
    <t>МО-В</t>
  </si>
  <si>
    <t xml:space="preserve">30 км. Щелковского шоссе (правая сторона) Щелковский р-н, </t>
  </si>
  <si>
    <t>Брянская обл.</t>
  </si>
  <si>
    <t>Тульская обл.</t>
  </si>
  <si>
    <t>Красноярский край</t>
  </si>
  <si>
    <t>Новомосковская, вл. 5</t>
  </si>
  <si>
    <t xml:space="preserve">Осташковская, вл. 22А                                                </t>
  </si>
  <si>
    <t>Пермский край</t>
  </si>
  <si>
    <t>СЕВЕРО-ЗАПАДНЫЙ сектор (МО-СЗ), Московской области</t>
  </si>
  <si>
    <t>4 км "Клин - Дмитров" Клинский р-н,</t>
  </si>
  <si>
    <t>Воронежская обл.</t>
  </si>
  <si>
    <t>Читинская обл.</t>
  </si>
  <si>
    <t>Чувашия</t>
  </si>
  <si>
    <t>Архангельская обл.</t>
  </si>
  <si>
    <t>Карелия</t>
  </si>
  <si>
    <t>Ростовская обл.</t>
  </si>
  <si>
    <t>Серебрякова проезд, 20</t>
  </si>
  <si>
    <t>Сигнальный пр-д, вл. 39А</t>
  </si>
  <si>
    <t>Сигнальный пр-д., вл. 4</t>
  </si>
  <si>
    <t>Сущевский вал, 15</t>
  </si>
  <si>
    <t>д.Калиново, 5км Серпухов-Калуга Серпуховский р-н,</t>
  </si>
  <si>
    <t>Регион</t>
  </si>
  <si>
    <t>Адыгея</t>
  </si>
  <si>
    <t>2.1.</t>
  </si>
  <si>
    <t xml:space="preserve">Юрловский проезд вл. 4А                                                                  </t>
  </si>
  <si>
    <t>г. Можайск, ул.Полевая, д.29</t>
  </si>
  <si>
    <t>ЕКА-Процессинг</t>
  </si>
  <si>
    <t>Новгороднефтепродукт</t>
  </si>
  <si>
    <t>Алтай</t>
  </si>
  <si>
    <t>Алтайский край</t>
  </si>
  <si>
    <t>г.Подольск, Пионерская, д.1"в"</t>
  </si>
  <si>
    <t xml:space="preserve">МКАД, вл.1 4-ый км </t>
  </si>
  <si>
    <t xml:space="preserve">МКАД, вл.2 1-ый км </t>
  </si>
  <si>
    <t>Перовская, дом 2 Б</t>
  </si>
  <si>
    <t>Ростокинский пр-д., вл. 11, стр. 1</t>
  </si>
  <si>
    <t>Ростокинский проезд, вл.2</t>
  </si>
  <si>
    <t>Русаковская наб., 7</t>
  </si>
  <si>
    <t>Сиреневый бульвар, вл. 4А</t>
  </si>
  <si>
    <t>Щёлковское ш., вл.93а</t>
  </si>
  <si>
    <t>Энтузиастов 1-ая , вл. 14</t>
  </si>
  <si>
    <t>Энтузиастов ш., д.92 "г"</t>
  </si>
  <si>
    <t>ЮВАО</t>
  </si>
  <si>
    <t>Боровское ш. 12 (3 км. От МКАД)</t>
  </si>
  <si>
    <t>Горбунова ул., вл. 5</t>
  </si>
  <si>
    <t>52 км, МКАД, вл. 3</t>
  </si>
  <si>
    <t>Полярный пр-д 12А</t>
  </si>
  <si>
    <t>Шокальского пр-д. - ул. Осташковская</t>
  </si>
  <si>
    <t>21 км. МКАД  (внешняя сторона)</t>
  </si>
  <si>
    <t>Ленинский пр-т, вл. 111А</t>
  </si>
  <si>
    <t>32 км. Дмитровского ш., между д. Еремино и Сухарево</t>
  </si>
  <si>
    <t>г. Долгопрудный, Лихачевское ш 1/3</t>
  </si>
  <si>
    <t>Дмитровский р-н, деревня Лучинское МБК 47 км.</t>
  </si>
  <si>
    <t>Мурманская обл.</t>
  </si>
  <si>
    <t>Международное шоссе Шереметьево - 2 (выезд) Химкинский р-н,</t>
  </si>
  <si>
    <t>Саратовская обл.</t>
  </si>
  <si>
    <t>2-я Скотопрогонная, д.2, стр.1</t>
  </si>
  <si>
    <t>Гейн Ойл</t>
  </si>
  <si>
    <t>4-й Лесной переулок, 2</t>
  </si>
  <si>
    <t xml:space="preserve">Большая Почтовая, д.26, соор.1                                                </t>
  </si>
  <si>
    <t>Бумажный пр. вл. 2а.</t>
  </si>
  <si>
    <t>Белоруссия</t>
  </si>
  <si>
    <t>п.Сельхозтехника, Домодедовское ш., д.49 "а" Подольский р-н,</t>
  </si>
  <si>
    <t>МО-ЮЗ</t>
  </si>
  <si>
    <t>ЮГО-ЗАПАДНЫЙ сектор (МО-ЮЗ), Московской области</t>
  </si>
  <si>
    <t>Архитектора Власова ул., вл. 2В, стр. 1</t>
  </si>
  <si>
    <t xml:space="preserve">Большая Юшуньская, вл. 7Б, стр. 1                                               </t>
  </si>
  <si>
    <t>Каширского шоссе Ленинский район,  32 км.</t>
  </si>
  <si>
    <t>г.Зеленоград, проезд № 687, д.1</t>
  </si>
  <si>
    <t>Техно-ойл</t>
  </si>
  <si>
    <t>Кутузовский проспект, владение 72</t>
  </si>
  <si>
    <t>Смоленская обл.</t>
  </si>
  <si>
    <t>Удмуртия</t>
  </si>
  <si>
    <t>ППР</t>
  </si>
  <si>
    <t>40км Москва-Крым и Подольской объездн.дор. перекр. Подольс.р-н,</t>
  </si>
  <si>
    <t>85 км Каширского ш. (слева) Ступинский р-н,</t>
  </si>
  <si>
    <t>8км ММБК (Симферопольско-Брестского шоссе) Серпуховский р-н,</t>
  </si>
  <si>
    <t>г.Климовск, Индустриальная, д.2</t>
  </si>
  <si>
    <t>г.Климовск, Климовская, д.59</t>
  </si>
  <si>
    <t>п.Красный Холм,  50-я Октября, 1 Воскресенский р-н,</t>
  </si>
  <si>
    <t>Жуков проезд,владение 15а</t>
  </si>
  <si>
    <t>Звенигородское ш., вл. 28</t>
  </si>
  <si>
    <t>Каланчевская ул., 43</t>
  </si>
  <si>
    <t>Киевская ул, 8</t>
  </si>
  <si>
    <t>Красина, вл. 15, стр. 1</t>
  </si>
  <si>
    <t>Магистраль</t>
  </si>
  <si>
    <t>город Москва</t>
  </si>
  <si>
    <t>- Всего АЗС</t>
  </si>
  <si>
    <t>1.1.</t>
  </si>
  <si>
    <t xml:space="preserve">АЗС - </t>
  </si>
  <si>
    <t>ЦАО</t>
  </si>
  <si>
    <t xml:space="preserve">     Центральный  административный  округ (ЦАО), г. Москва</t>
  </si>
  <si>
    <t>1-я Фрунзенская, 5А</t>
  </si>
  <si>
    <t>+</t>
  </si>
  <si>
    <t>Округ, область</t>
  </si>
  <si>
    <t>Адрес</t>
  </si>
  <si>
    <t>Дт</t>
  </si>
  <si>
    <t>Московская обл.</t>
  </si>
  <si>
    <t>Кемеровская обл.</t>
  </si>
  <si>
    <t>5-ая Кабельная, вл. 16</t>
  </si>
  <si>
    <t>МО-СЗ</t>
  </si>
  <si>
    <t xml:space="preserve">     Эта строка всегда крайняя в Списке Округа и её не трогать !!!</t>
  </si>
  <si>
    <t>ЮАО</t>
  </si>
  <si>
    <t xml:space="preserve">     Южный административный округ (ЮАО), г. Москва</t>
  </si>
  <si>
    <t>19 км. МКАД  д.Беседы (внешняя сторона)</t>
  </si>
  <si>
    <t>1-й Дорожный проезд, вл. 1А</t>
  </si>
  <si>
    <t>Волгоградская обл.</t>
  </si>
  <si>
    <t>29км "Крым", в кв.5 Подольского лесничества ПРУЛ Подольс. р-н,</t>
  </si>
  <si>
    <t>29км Москва-Крым, Стрелковский с.о.вблизи д.Спирово Подольср-н,</t>
  </si>
  <si>
    <t>40км Москва-Крым и Подольской объездн.дор. перекр. Подольс. р-н,</t>
  </si>
  <si>
    <t>Калининградская обл.</t>
  </si>
  <si>
    <t xml:space="preserve">Мичуринский проспект, вл. 4А (Олимпийская дер.)      </t>
  </si>
  <si>
    <t>Краснодарский кр.</t>
  </si>
  <si>
    <t>Всего АЗС  -</t>
  </si>
  <si>
    <t>Страна</t>
  </si>
  <si>
    <t>Польша</t>
  </si>
  <si>
    <t>Татнефть-АЗС-Запад</t>
  </si>
  <si>
    <t>Автокарт-Воронеж</t>
  </si>
  <si>
    <t>МКАД, 19 км, вл. 6 (внутреняя сторона)</t>
  </si>
  <si>
    <t>Варшавское ш, 141Б</t>
  </si>
  <si>
    <t>Каширское ш., вл. 12"а"</t>
  </si>
  <si>
    <t>Красного Маяка, вл.14-а</t>
  </si>
  <si>
    <t>Нагатинская наб., д.8 "а", пересечение с Нагатин. переездом)</t>
  </si>
  <si>
    <t>Каширское ш., вл. 80А</t>
  </si>
  <si>
    <t>26 км. МКАД  (внешняя сторона)</t>
  </si>
  <si>
    <t>Астраханская обл.</t>
  </si>
  <si>
    <t>Омская обл.</t>
  </si>
  <si>
    <t>Каширское ш., вл. 158 а (МКАД 24-й км., вл. 19)</t>
  </si>
  <si>
    <t>Смольная, 54</t>
  </si>
  <si>
    <t>МКАД 90-й км, внешняя сторона</t>
  </si>
  <si>
    <t>Сокольнический вал, вл. 2</t>
  </si>
  <si>
    <t>Ижорская , д.31б</t>
  </si>
  <si>
    <t>Минская, 9 км.</t>
  </si>
  <si>
    <t>г.Зеленоград, 3-й Западный проезд</t>
  </si>
  <si>
    <t>Дыбенко, 9</t>
  </si>
  <si>
    <t>Веткина, д.2</t>
  </si>
  <si>
    <t>Свободы, вл.70</t>
  </si>
  <si>
    <t>Шипиловский проезд, вл. 29а</t>
  </si>
  <si>
    <t>Севастопольский проспект, вл. 89</t>
  </si>
  <si>
    <t>МКАД  53 км</t>
  </si>
  <si>
    <t>Подольская, д.13</t>
  </si>
  <si>
    <t>Лобачевского, вл. 92б</t>
  </si>
  <si>
    <t>г.Шатура, пр.Ильича, 96 (на въезде в город)</t>
  </si>
  <si>
    <t>г.Серебряные-Пруды, ул. Привокзальная, д.1</t>
  </si>
  <si>
    <t>д.Малая Дубна, 89км шоссе Москва-Н.Новгород Орехово-Зуевский р-н,</t>
  </si>
  <si>
    <t>Газпромнефть</t>
  </si>
  <si>
    <t>г.Рошаль, ул.Советская, д. 1А (на въезде в город)</t>
  </si>
  <si>
    <t>МО-СВ</t>
  </si>
  <si>
    <t>СЕВЕРО-ВОСТОЧНЫЙ сектор (МО-СВ), Московской области</t>
  </si>
  <si>
    <t>г.Ивантеевка, Центральный пр-д, д.27а</t>
  </si>
  <si>
    <t>Лина</t>
  </si>
  <si>
    <t>Вертикаль</t>
  </si>
  <si>
    <t>Митин</t>
  </si>
  <si>
    <t>Демидова</t>
  </si>
  <si>
    <t>Юникард</t>
  </si>
  <si>
    <t>Грейтек</t>
  </si>
  <si>
    <t>Хорошая мойка</t>
  </si>
  <si>
    <t>Ямало-Ненецкий АО</t>
  </si>
  <si>
    <t>Ярославская обл</t>
  </si>
  <si>
    <t>Новгородская обл.</t>
  </si>
  <si>
    <t>5-ая Кабельная, вл. 2Б</t>
  </si>
  <si>
    <t>7-й км МКАД (внешняя сторона)</t>
  </si>
  <si>
    <t>Волгоградский пр-т, 22</t>
  </si>
  <si>
    <t>Мрузовский переулок, вл.12</t>
  </si>
  <si>
    <t>Томская обл.</t>
  </si>
  <si>
    <t>Полимерная , вл. 6</t>
  </si>
  <si>
    <t>Рязанский проспект,вл.2</t>
  </si>
  <si>
    <t>Сормовский проезд, д.9</t>
  </si>
  <si>
    <t>Ставропольская, вл. 31</t>
  </si>
  <si>
    <t>Сталеваров ул, 12А</t>
  </si>
  <si>
    <t>Шоссейная пересечение с Полбина</t>
  </si>
  <si>
    <t>ЗелАО</t>
  </si>
  <si>
    <t xml:space="preserve">     Зеленоградский  административный  округ (ЗелАО), г.Москва</t>
  </si>
  <si>
    <t xml:space="preserve">6-ой Загородный проезд, вл. 1, стр.1        </t>
  </si>
  <si>
    <t>Азовская ул., 32А</t>
  </si>
  <si>
    <t>Мордовия</t>
  </si>
  <si>
    <t>Подольских Курсантов, 5Б</t>
  </si>
  <si>
    <t>ЕКА</t>
  </si>
  <si>
    <t>Подольских курсантов, вл. 26А</t>
  </si>
  <si>
    <t>Пролетарский пр-т, вл. 14А</t>
  </si>
  <si>
    <t>Речников, вл. 9</t>
  </si>
  <si>
    <t>Садовники, д.11 Б</t>
  </si>
  <si>
    <t>Харьковский проезд, вл. 2А</t>
  </si>
  <si>
    <t>ЮЗАО</t>
  </si>
  <si>
    <t xml:space="preserve">     Юго-Западный административный  округ (ЮЗАО), г. Москва</t>
  </si>
  <si>
    <t>г.Щелково  Фрунзе</t>
  </si>
  <si>
    <t>Св.Осетия-Алания</t>
  </si>
  <si>
    <t>Татарстан</t>
  </si>
  <si>
    <r>
      <t xml:space="preserve">1. Москва и Московская область                                                              </t>
    </r>
    <r>
      <rPr>
        <b/>
        <sz val="12"/>
        <rFont val="Arial"/>
        <family val="2"/>
      </rPr>
      <t xml:space="preserve">Всего АЗС - </t>
    </r>
  </si>
  <si>
    <t>Волгоградский пр-т., 172, корп. 1</t>
  </si>
  <si>
    <t>Волгоградский пр-т., 185, корп. 2</t>
  </si>
  <si>
    <t>Иловайская, д.8</t>
  </si>
  <si>
    <t>Кусковская , вл. 4А</t>
  </si>
  <si>
    <t>Ульяновская обл.</t>
  </si>
  <si>
    <t>Кировская обл.</t>
  </si>
  <si>
    <t>Новосибирская обл.</t>
  </si>
  <si>
    <t>Мукомольный пр-д, д.8 (Шмидтовский пр-д, вл.39)</t>
  </si>
  <si>
    <t>наб. акад.Туполева, 17</t>
  </si>
  <si>
    <t>Роснефть</t>
  </si>
  <si>
    <t>Николо-Ямская наб.у Высокояузского моста</t>
  </si>
  <si>
    <t>Полуярославская набережная, владение 1</t>
  </si>
  <si>
    <t>Саввинская наб., 7</t>
  </si>
  <si>
    <t>Тараса Шевченко набережная, вл. 12</t>
  </si>
  <si>
    <t>Рязанская обл.</t>
  </si>
  <si>
    <t>Самарская обл.</t>
  </si>
  <si>
    <t>Нефтика</t>
  </si>
  <si>
    <t>Оренбургская обл.</t>
  </si>
  <si>
    <t>г.Красногорск, 27 км Волоколамского шоссе</t>
  </si>
  <si>
    <t>Подольский р-н, Калужское шоссе, 63 км, д.Львово,Вороновский с.о.</t>
  </si>
  <si>
    <t>д.Пешки Солнечногорский р-н, Пешковский с.о., 56 км а/д "Москва-С.-Петербург"</t>
  </si>
  <si>
    <t>п. Новоподрезково, 31 км а/д Москва-С.-Петербург (правая сторона) Химкинский р-н,вл. 1</t>
  </si>
  <si>
    <t>с. Жестылево Дмитровский р-н, Якотский с.о.,</t>
  </si>
  <si>
    <t xml:space="preserve">г.Щелково,  ул.Талсинская ( у ресторана "Макдоналдс")                                       </t>
  </si>
  <si>
    <t>г. Луховицы,ул. Куйбышева,д.2</t>
  </si>
  <si>
    <t>г. Коломна, ул. Октябрьской Революции,д. 139</t>
  </si>
  <si>
    <t>Коломенский район, д. Чанки, ул. Центральная, д. 150(правая сторона)</t>
  </si>
  <si>
    <t>Коломенский район, д. Чанки, ул. Центральная, д. 150(левая сторона)</t>
  </si>
  <si>
    <t>г. Одинцово, ул. Железнодорожная, д. 41</t>
  </si>
  <si>
    <t>г. Руза, ул.Красная</t>
  </si>
  <si>
    <t>пос.Уваровка, ул. Советская,Можайский р-н</t>
  </si>
  <si>
    <t>г. Можайск, ул.1-ая Железнодорожная,д. 42</t>
  </si>
  <si>
    <t>Волоколамский р-он, 52 км Волоколамского шоссе</t>
  </si>
  <si>
    <t>Подольский р-н, вблизи дер. Александровка,38 км а/д "Москва-Крым"</t>
  </si>
  <si>
    <t>Чеховский р-н 70 км МКАД-Серпухов</t>
  </si>
  <si>
    <t>Серпуховской р-н, 97 км скоростного шоссе Москва-Симферополь</t>
  </si>
  <si>
    <t>Раменский р-н,д. Сафоново</t>
  </si>
  <si>
    <t>г. Раменское, Северное шоссе</t>
  </si>
  <si>
    <t>г. Куровское, Орехово-Зуевский р-н, 3 км Ликинского шоссе</t>
  </si>
  <si>
    <t>Рузский р-н, пос.Дорохово, ул. Невкипелого,уч.8</t>
  </si>
  <si>
    <t xml:space="preserve">МКАД,28 км, вл. 20 (внутреняя сторона)  </t>
  </si>
  <si>
    <t xml:space="preserve">Перерва, д.19, стр. 11                                                                    </t>
  </si>
  <si>
    <t>МКАД 43-й км,вл.12А,стр.1,2</t>
  </si>
  <si>
    <t xml:space="preserve">МКАД 43-й км,д.12Б,с.1 </t>
  </si>
  <si>
    <t xml:space="preserve">ст.Кашира-1,  Стрелецкая,70 </t>
  </si>
  <si>
    <t>Наро-Фоминский р-н, 72 км+300м а/д "Украина",г.Наро-Фоминск, справа</t>
  </si>
  <si>
    <t>г. Наро-Фоминск, 71 км. Киевского шоссе</t>
  </si>
  <si>
    <t xml:space="preserve">п.Осеево, ул.Первомайская, Щелковский р-н. г.Лосино-Петровский </t>
  </si>
  <si>
    <t>г. Можайск, ул.Вокзальная</t>
  </si>
  <si>
    <t>Мос. обл., Серпуховский р-н, 97 км скоростного шоссе Москва-Симферополь</t>
  </si>
  <si>
    <t xml:space="preserve"> г. Ступино, ул. Транспортная</t>
  </si>
  <si>
    <t xml:space="preserve"> Подольский р-н, п. Курилово, 52 км Варшавского ш.</t>
  </si>
  <si>
    <t xml:space="preserve"> Подольский р-н, г. Климовск, 51 км Симферопольского ш.</t>
  </si>
  <si>
    <t>Мос. обл., Ступинский р-н, пос. Малино</t>
  </si>
  <si>
    <t xml:space="preserve"> г. Красноармейск, Гранитный пр., д. 4</t>
  </si>
  <si>
    <t>Ногинский р-он, 47-й км а/д "Москва-Нижний Новгород"</t>
  </si>
  <si>
    <t>МКАД, 85 км внеш. стороны, вблизи Алтуфьевского ш.</t>
  </si>
  <si>
    <t>МКАД, 18 км, внеш. Сторона ( г. Дзержинский, ул. Алексеевская, д. 10)</t>
  </si>
  <si>
    <t>950.426</t>
  </si>
  <si>
    <t>М10, 48 км ш. Москва-С. Петербург,Солнечногорский р-н, д. Берсеньевка, слева</t>
  </si>
  <si>
    <t>МКАД 43 км внешняя сторона, п/о пос. Московский</t>
  </si>
  <si>
    <t>№списка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</si>
  <si>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</si>
  <si>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ВОСТОЧНЫЙ сектор , Московской области</t>
  </si>
  <si>
    <t>г. Серпухов, Ивановские дворики,Московское шоосе</t>
  </si>
  <si>
    <t>г.Орехово-Зуево, Егорьевское шоссе (консервация)</t>
  </si>
  <si>
    <t>г.Щербинка, 28 км Варшавского шоссе (консервация)</t>
  </si>
  <si>
    <t>г. Воскресенк, ул. Центральная (консервация)</t>
  </si>
  <si>
    <t>950.65</t>
  </si>
  <si>
    <t>950.66</t>
  </si>
  <si>
    <t>950.67</t>
  </si>
  <si>
    <t>950.68</t>
  </si>
  <si>
    <t>950.70</t>
  </si>
  <si>
    <t>950.71</t>
  </si>
  <si>
    <t>950.74</t>
  </si>
  <si>
    <t>950.75</t>
  </si>
  <si>
    <t>950.76</t>
  </si>
  <si>
    <t>950.77</t>
  </si>
  <si>
    <t>950.78</t>
  </si>
  <si>
    <t>950.79</t>
  </si>
  <si>
    <t>950.80</t>
  </si>
  <si>
    <t>950.81</t>
  </si>
  <si>
    <t>950.82</t>
  </si>
  <si>
    <t>950.89</t>
  </si>
  <si>
    <t>950.94</t>
  </si>
  <si>
    <t>950.104</t>
  </si>
  <si>
    <t>МКАД, 38 км, вл.10, внутр.сторона</t>
  </si>
  <si>
    <t>950.132</t>
  </si>
  <si>
    <t>950.133</t>
  </si>
  <si>
    <t>950.134</t>
  </si>
  <si>
    <t>950.147</t>
  </si>
  <si>
    <t>950.148</t>
  </si>
  <si>
    <t>950.149</t>
  </si>
  <si>
    <t>950.150</t>
  </si>
  <si>
    <t>Старообрядческая ул.,вл.36</t>
  </si>
  <si>
    <t>950.151</t>
  </si>
  <si>
    <t>950.152</t>
  </si>
  <si>
    <t>950.160</t>
  </si>
  <si>
    <t>950.180</t>
  </si>
  <si>
    <t>950.506</t>
  </si>
  <si>
    <t>г.Зеленоград, проезд № 657, д.1</t>
  </si>
  <si>
    <t>950.155</t>
  </si>
  <si>
    <t>950.83</t>
  </si>
  <si>
    <t>950.84</t>
  </si>
  <si>
    <t>52км Москва-Украина М3, пос. Селятино, лев. стор. Наро-Фоминский р-н,</t>
  </si>
  <si>
    <t>78км федер.трассы Москва-Украина М3, д.Щекутино, слева. Наро-Фоминский р-н,</t>
  </si>
  <si>
    <t>950.86</t>
  </si>
  <si>
    <t>950.85</t>
  </si>
  <si>
    <t>г.Наро-Фоминск, 73км федер. трассы Москва-Украина М3, г. Наро-Фоминск, прав.стор.</t>
  </si>
  <si>
    <t>950.87</t>
  </si>
  <si>
    <t>83км Москва-Украина М3, б.н.п. Нефедово, прав.стор. Наро-Фоминский р-н,</t>
  </si>
  <si>
    <t>84км Москва-Украина М3, б.н.п. Нефедово, лев.стор. Наро-Фоминский р-н,</t>
  </si>
  <si>
    <t>950.88</t>
  </si>
  <si>
    <t>950.90</t>
  </si>
  <si>
    <t>19км Киевского шоссе М3, н.п.Дудкино,справа, Ленинский р-н,</t>
  </si>
  <si>
    <t>950.91</t>
  </si>
  <si>
    <t>950.92</t>
  </si>
  <si>
    <t>г.Троицк, 41км Калужское шоссе А101, слева,Ленинский р-н,</t>
  </si>
  <si>
    <t>г.Троицк, 31км Калужское шоссе А101,справа, Ленинский р-н</t>
  </si>
  <si>
    <t>950.93</t>
  </si>
  <si>
    <t>д.Чириково, 50км Москва-Рославль А101, слева Подольский район</t>
  </si>
  <si>
    <t>950.95</t>
  </si>
  <si>
    <t>30км Минское шоссе М1,г. Одинцово, слева, Одинцовский р-н</t>
  </si>
  <si>
    <t>950.96</t>
  </si>
  <si>
    <t>53км Минского шоссе М1,пос.Петелино, справа,Одинцовский р-н</t>
  </si>
  <si>
    <t>950.97</t>
  </si>
  <si>
    <t>950.98</t>
  </si>
  <si>
    <t>116 км Минского шоссе М1, пос. Кромино, слева, Можайский р-н,</t>
  </si>
  <si>
    <t>г.Краснознаменск, 41км Минского шоссе Одинцовский р-н</t>
  </si>
  <si>
    <t>950.100</t>
  </si>
  <si>
    <t>950.101</t>
  </si>
  <si>
    <t>950.102</t>
  </si>
  <si>
    <t>79км М2 "Крым" (слева) ,пос. Карьково,Чеховский р-н, Баранцевский с.о.,</t>
  </si>
  <si>
    <t>950.103</t>
  </si>
  <si>
    <t>79км Москва-Крым, прав. стор.,пос.Карьково, Чеховский район,</t>
  </si>
  <si>
    <t>950.105</t>
  </si>
  <si>
    <t>21км Варшавского шоссе Ленинский р-н, сразу за МКАД</t>
  </si>
  <si>
    <t>950.106</t>
  </si>
  <si>
    <t>950.107</t>
  </si>
  <si>
    <t>г. Подольск, ул.Кирова, мкр Фетищево, справа</t>
  </si>
  <si>
    <t>950.108</t>
  </si>
  <si>
    <t>950.109</t>
  </si>
  <si>
    <t>г. Подольск, п.Железнодорожный, ул.Климовская, Подольский р-н, Лаговский с.о.</t>
  </si>
  <si>
    <t>950.110</t>
  </si>
  <si>
    <t>950.111</t>
  </si>
  <si>
    <t>950.112</t>
  </si>
  <si>
    <t>950.113</t>
  </si>
  <si>
    <t>950.116</t>
  </si>
  <si>
    <t>Подольс.р-н, Подольск-Домодедово,1 км до поворота на д.Покров, слева</t>
  </si>
  <si>
    <t>950.117</t>
  </si>
  <si>
    <t>Подольс.р-н, Подольск-Домодедово, 1 км до поворота на д.Покров,справа</t>
  </si>
  <si>
    <t>950.118</t>
  </si>
  <si>
    <t>39км трассы Москва-аэроп. Домодедово ,д. Шишкино,слева, Домодедовский р-н,</t>
  </si>
  <si>
    <t>950.119</t>
  </si>
  <si>
    <t xml:space="preserve">Каширское ш.,23км ,д. Опаринки, справа,Ленинский р-н </t>
  </si>
  <si>
    <t>950.120</t>
  </si>
  <si>
    <t>37 км Москва-Серпухов  трассы М2, пос. Сельхозтехника, справа,Подольский р-н</t>
  </si>
  <si>
    <t>950.121</t>
  </si>
  <si>
    <t>М2, 38 км, д. Александровка, слева,Подольс.р-н</t>
  </si>
  <si>
    <t>950.125</t>
  </si>
  <si>
    <t>47км а/м "Крым" М2, вблизи д.Гривно,слева,Подольс.р-н</t>
  </si>
  <si>
    <t>950.126</t>
  </si>
  <si>
    <t>950.127</t>
  </si>
  <si>
    <t>г.Домодедово, Объездное ш., д.1, 36км Москва-Дон М4,справа</t>
  </si>
  <si>
    <t>Новокаширское ш., 35км,слева (объездное шоссе Домодедово) Домодедовский р-н,</t>
  </si>
  <si>
    <t>950.128</t>
  </si>
  <si>
    <t>950.129</t>
  </si>
  <si>
    <t>65км М4,справа, Домодедовский р-н,</t>
  </si>
  <si>
    <t>49 км М4, левая сторона Новокаширское ш.,</t>
  </si>
  <si>
    <t>950.131</t>
  </si>
  <si>
    <t>52км Каширского шоссе,справа, Домодедовский р-н</t>
  </si>
  <si>
    <t>950.137</t>
  </si>
  <si>
    <t>г.Лыткарино, ул Парковая, стр.5,АЗС 62</t>
  </si>
  <si>
    <t>п.Томилино, Новорязанское ш., 23км Люберецкий р-н,АЗС207</t>
  </si>
  <si>
    <t>950.138</t>
  </si>
  <si>
    <t>47 км М5 "Урал", левая сторона, АЗС 321</t>
  </si>
  <si>
    <t>47 км М5 "Урал", правая сторона, АЗС328</t>
  </si>
  <si>
    <t>950.139</t>
  </si>
  <si>
    <t>15 км, А-107, 2-е Бетон.кольцо в стор.Бронницы Домодедовский р-н, АЗС 271</t>
  </si>
  <si>
    <t>950.140</t>
  </si>
  <si>
    <t>Домодедовский р-н,п.Артемьева, 3км А107(ММК), внешняя сторона, АЗС 69</t>
  </si>
  <si>
    <t>950.141</t>
  </si>
  <si>
    <t>71км М5, правая ст. Раменский р-н, д. Ульянино,АЗС 73</t>
  </si>
  <si>
    <t>950.142</t>
  </si>
  <si>
    <t>71км М5- Рязанского ш., левая ст. Раменский р-н, д. Ульянино, АЗС 74</t>
  </si>
  <si>
    <t>950.143</t>
  </si>
  <si>
    <t>с.Степановское, 81км М5-Рязанского шоссе Раменский р-н, пересечение с А108(МБК),АЗС 139</t>
  </si>
  <si>
    <t>950.144</t>
  </si>
  <si>
    <t>950.153</t>
  </si>
  <si>
    <t>г.Реутов, Победы, 29,АЗС 79</t>
  </si>
  <si>
    <t>950.154</t>
  </si>
  <si>
    <t>г.Реутов, проспект Мира, вл. 50,АЗС 80</t>
  </si>
  <si>
    <t>950.156</t>
  </si>
  <si>
    <t>Носовихинское ш., вл. 1"в" Реутовский р-н,слева, АЗС 38</t>
  </si>
  <si>
    <t>950.157</t>
  </si>
  <si>
    <t>Носовихинское ш.,вл. 31"в" Реутовский р-н,слева, АЗС39</t>
  </si>
  <si>
    <t>950.158</t>
  </si>
  <si>
    <t>30км М7-" Москва-Н.Новгород", правая сторона Балашихинский р-н,б.н.с Щемилово, АЗС 92</t>
  </si>
  <si>
    <t>30км М7-" Москва-Н.Новгород", левая сторона Балашихинский р-н,б.н.с Щемилово, АЗС 93</t>
  </si>
  <si>
    <t>950.159</t>
  </si>
  <si>
    <t>950.161</t>
  </si>
  <si>
    <t>950.162</t>
  </si>
  <si>
    <t>24км А 103- Щелковское шоссе, Балашихинский р-н, Пехра-Покровский с.о.,справа, АЗС 34</t>
  </si>
  <si>
    <t>25км А 103-Щелковское ш., Балашихинский р-н, Пехра-Покровский с.о, слева,АЗС 35</t>
  </si>
  <si>
    <t>950.163</t>
  </si>
  <si>
    <t>г.Электросталь, К.Маркса, д.61,АЗС 31</t>
  </si>
  <si>
    <t>950.164</t>
  </si>
  <si>
    <t>950.165</t>
  </si>
  <si>
    <t>г.Павловский Посад, Лесная, д.32/3,АЗС99</t>
  </si>
  <si>
    <t>г.Электросталь, 12км Фрязевского шоссе, АЗС99</t>
  </si>
  <si>
    <t>950.166</t>
  </si>
  <si>
    <t>г.Павловский Посад, Б.Покровская, д.47 "а",АЗС98</t>
  </si>
  <si>
    <t>950.167</t>
  </si>
  <si>
    <t>69км М7 "Волга", Москва-Н.Новгород, Павлово-Посадский р-н,пос.Кузнецы,справа,АЗС164</t>
  </si>
  <si>
    <t>950.169</t>
  </si>
  <si>
    <t>83 км М7 "Волга" Орехово-Зуевский р-н,д. Никулино, слева, АЗС 162</t>
  </si>
  <si>
    <t>950.170</t>
  </si>
  <si>
    <t>Орехово-Зуевский район, д. Малая Дубна ул. 1-км А108( МБК Горьковско-Егорьевское шоссе), АЗС 273</t>
  </si>
  <si>
    <t>950.171</t>
  </si>
  <si>
    <t>г. Ликино-Дулёво,ул. Автодорожная,27,АЗС 309</t>
  </si>
  <si>
    <t>950.172</t>
  </si>
  <si>
    <t>Ново-Углическое ш., д.Селково, 31км Р104 (Новоугличское шоссе), Сергиево-Посадский р-н,АЗС 145</t>
  </si>
  <si>
    <t>950.173</t>
  </si>
  <si>
    <t>Р104, г. Сергиев-Посад, Новоугличское ш., д.74 Сергиево-Посадский р-н,АЗС 144</t>
  </si>
  <si>
    <t>950.174</t>
  </si>
  <si>
    <t>87 км  трассы М8 (а/м Москва-Архангельск), Сергиево-Пасадский р-н, пос. Бужаниново, справа, АЗС 279</t>
  </si>
  <si>
    <t>950.175</t>
  </si>
  <si>
    <t>87 км  трассы М8 (а/м Москва-Архангельск), Сергиево-Пасадский р-н, пос. Бужаниново, слева, АЗС 280</t>
  </si>
  <si>
    <t>950.176</t>
  </si>
  <si>
    <t>п. Талицы, 47км М8,Ярославского шоссе, Пушкинский р-н,слева, АЗС 33</t>
  </si>
  <si>
    <t>950.177</t>
  </si>
  <si>
    <t>35км, М8, Ярославского шоссе, Пушкинский р-н, справа,АЗС37</t>
  </si>
  <si>
    <t>950.178</t>
  </si>
  <si>
    <t>44 км,М10, Москва-С-Петербург, д.Чашниково Солнечногорский район,слева, АЗС 168</t>
  </si>
  <si>
    <t>950.179</t>
  </si>
  <si>
    <t>д.Брехово,Р111(Пятницкое шоссе), Солнечногорский р-н,справа, АЗС 142</t>
  </si>
  <si>
    <t>950.181</t>
  </si>
  <si>
    <t>д.Дурыкино, Кировский с.о., 1км трассы А107(ММК),  Солнечногорский район,АЗС 163</t>
  </si>
  <si>
    <t>950.182</t>
  </si>
  <si>
    <t>М10, 34 км, пос. Елино, справа, Солнечногорский р-н, АЗС 94</t>
  </si>
  <si>
    <t>950.183</t>
  </si>
  <si>
    <t>57 км,М10,Москва-С.Петербург, правая сторона Солнечногорский р-н, АЗС 61</t>
  </si>
  <si>
    <t>950.184</t>
  </si>
  <si>
    <t>г.Клин, Чайковского, д.60"а",АЗС 41</t>
  </si>
  <si>
    <t>950.185</t>
  </si>
  <si>
    <t>г.Клин, Лавровская дорога, вл.6,АЗС 42</t>
  </si>
  <si>
    <t>950.186</t>
  </si>
  <si>
    <t>80км трассы М10( Москва-С.Петербург) Клинский р-н,пос. Белозерки, АЗС 40</t>
  </si>
  <si>
    <t>950.190</t>
  </si>
  <si>
    <t>115км трассы М9,Москва-Рига, Волоколамский р-н,пос. Возьмище, слева,АЗС 36</t>
  </si>
  <si>
    <t>950.99</t>
  </si>
  <si>
    <t>М1, 88 км, Рузский р-н, п. Дорохово, справа, АЗС 278</t>
  </si>
  <si>
    <t>950.115</t>
  </si>
  <si>
    <t>М1, 141 км Минского шоссе, АЗС 368</t>
  </si>
  <si>
    <t>950.146</t>
  </si>
  <si>
    <t>90 км "Урал" М5 Коломенский район,АЗС 161</t>
  </si>
  <si>
    <t>950.145</t>
  </si>
  <si>
    <t>Шаховской р-н, п.г.т. Шаховская, 146 км. Рижского ш.</t>
  </si>
  <si>
    <t>г. Луховицы,ул. Куйбышева,д.65</t>
  </si>
  <si>
    <t>860.31</t>
  </si>
  <si>
    <t>860.44</t>
  </si>
  <si>
    <t>860.56</t>
  </si>
  <si>
    <t>860.67</t>
  </si>
  <si>
    <t>860.186</t>
  </si>
  <si>
    <t>860.193</t>
  </si>
  <si>
    <t>860.213</t>
  </si>
  <si>
    <t>860.229</t>
  </si>
  <si>
    <t>860.232</t>
  </si>
  <si>
    <t>860.234</t>
  </si>
  <si>
    <t>860.246</t>
  </si>
  <si>
    <t>860.247</t>
  </si>
  <si>
    <t>860.1</t>
  </si>
  <si>
    <t>860.54</t>
  </si>
  <si>
    <t>Одинцовский р-н,г. Кубинка, 64 км Минского ш., АЗС стр. 1</t>
  </si>
  <si>
    <t>860.57</t>
  </si>
  <si>
    <t>860.58</t>
  </si>
  <si>
    <t>860.206</t>
  </si>
  <si>
    <t>860.189</t>
  </si>
  <si>
    <t>860.218</t>
  </si>
  <si>
    <t>860.225</t>
  </si>
  <si>
    <t>860.91</t>
  </si>
  <si>
    <t>860.120</t>
  </si>
  <si>
    <t>860.122</t>
  </si>
  <si>
    <t xml:space="preserve"> Серпуховский р-н,57 км ФАД М-4 "Дон", правая сторона</t>
  </si>
  <si>
    <t>860.258</t>
  </si>
  <si>
    <t>860.259</t>
  </si>
  <si>
    <t>1-ый км а/д Ступино-Малино</t>
  </si>
  <si>
    <t>860.250</t>
  </si>
  <si>
    <t>д. Шелудьково, 95 км М-9, справа</t>
  </si>
  <si>
    <t>М10, 45 км, слева, д. Дурыкино</t>
  </si>
  <si>
    <t xml:space="preserve">Воскресенский район, д. Гостилово </t>
  </si>
  <si>
    <t>Панфилова , 2, стр.1</t>
  </si>
  <si>
    <t>Коровинское ш., вл. 18а</t>
  </si>
  <si>
    <t>950.1024</t>
  </si>
  <si>
    <t>Красногорский район, д. Грибаново</t>
  </si>
  <si>
    <t xml:space="preserve">Поляны, вл. 2                                                                     </t>
  </si>
  <si>
    <t>г. Озеры, ул. Свердлова</t>
  </si>
  <si>
    <t>860.235</t>
  </si>
  <si>
    <t>МКАД 64 км, внешняя сторона, Одинцовский р-н, в р-не д. Мякинино</t>
  </si>
  <si>
    <t>ПЕРЕЧЕНЬ АЗС принимающих топливные карты ГАЗПРОМнефть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</si>
</sst>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d\ mmmm\ yyyy\ \г\.;@"/>
    <numFmt numFmtId="181" formatCode="dd/mm/yy;@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0"/>
    <numFmt numFmtId="188" formatCode="[$-FC19]d\ mmmm\ yyyy\ &quot;г.&quot;"/>
    <numFmt numFmtId="189" formatCode="dd/mm/yy\ h:mm;@"/>
    <numFmt numFmtId="190" formatCode="[$-409]dd/mm/yy\ h:mm\ AM/PM;@"/>
    <numFmt numFmtId="191" formatCode="#,##0.00&quot;р.&quot;"/>
    <numFmt numFmtId="192" formatCode="0.0000"/>
    <numFmt numFmtId="193" formatCode="0.0"/>
    <numFmt numFmtId="194" formatCode="0.000"/>
  </numFmts>
  <fonts count="65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4"/>
      <name val="Verdana"/>
      <family val="2"/>
    </font>
    <font>
      <b/>
      <sz val="11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Times New Roman"/>
      <family val="1"/>
    </font>
    <font>
      <b/>
      <i/>
      <sz val="11"/>
      <name val="Arial"/>
      <family val="2"/>
    </font>
    <font>
      <b/>
      <i/>
      <sz val="10"/>
      <color indexed="22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11"/>
      <color indexed="41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1"/>
      <color indexed="9"/>
      <name val="Times New Roman"/>
      <family val="1"/>
    </font>
    <font>
      <b/>
      <i/>
      <sz val="14"/>
      <color indexed="9"/>
      <name val="Verdana"/>
      <family val="2"/>
    </font>
    <font>
      <b/>
      <i/>
      <sz val="8"/>
      <color indexed="9"/>
      <name val="Arial"/>
      <family val="2"/>
    </font>
    <font>
      <b/>
      <sz val="17"/>
      <color indexed="9"/>
      <name val="Arial"/>
      <family val="2"/>
    </font>
    <font>
      <sz val="14"/>
      <color indexed="9"/>
      <name val="Arial"/>
      <family val="2"/>
    </font>
    <font>
      <b/>
      <i/>
      <u val="single"/>
      <sz val="12"/>
      <color indexed="9"/>
      <name val="Arial"/>
      <family val="2"/>
    </font>
    <font>
      <sz val="10"/>
      <color indexed="9"/>
      <name val="Arial Cyr"/>
      <family val="0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color indexed="61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"/>
      <family val="2"/>
    </font>
    <font>
      <b/>
      <i/>
      <sz val="8"/>
      <color indexed="61"/>
      <name val="Arial"/>
      <family val="2"/>
    </font>
    <font>
      <b/>
      <sz val="8"/>
      <color indexed="41"/>
      <name val="Arial"/>
      <family val="2"/>
    </font>
    <font>
      <b/>
      <i/>
      <sz val="8"/>
      <color indexed="22"/>
      <name val="Arial"/>
      <family val="2"/>
    </font>
    <font>
      <b/>
      <sz val="8"/>
      <color indexed="47"/>
      <name val="Arial"/>
      <family val="2"/>
    </font>
    <font>
      <i/>
      <sz val="10"/>
      <color indexed="10"/>
      <name val="Arial"/>
      <family val="2"/>
    </font>
    <font>
      <i/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i/>
      <sz val="10"/>
      <color rgb="FFFF0000"/>
      <name val="Arial"/>
      <family val="2"/>
    </font>
    <font>
      <i/>
      <sz val="8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hair"/>
      <bottom style="hair"/>
    </border>
    <border>
      <left>
        <color indexed="63"/>
      </left>
      <right style="medium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95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51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62" fillId="0" borderId="0">
      <alignment/>
      <protection/>
    </xf>
    <xf numFmtId="0" fontId="0" fillId="0" borderId="0">
      <alignment vertical="top"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 vertical="top"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 vertical="top"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9" fillId="20" borderId="10" xfId="0" applyFont="1" applyFill="1" applyBorder="1" applyAlignment="1" applyProtection="1">
      <alignment horizontal="center" vertical="center" textRotation="90"/>
      <protection locked="0"/>
    </xf>
    <xf numFmtId="0" fontId="29" fillId="20" borderId="10" xfId="0" applyFont="1" applyFill="1" applyBorder="1" applyAlignment="1" applyProtection="1">
      <alignment horizontal="center" vertical="center" textRotation="90" wrapText="1"/>
      <protection locked="0"/>
    </xf>
    <xf numFmtId="0" fontId="29" fillId="20" borderId="10" xfId="0" applyFont="1" applyFill="1" applyBorder="1" applyAlignment="1" applyProtection="1">
      <alignment horizontal="center" vertical="center" textRotation="90" shrinkToFit="1"/>
      <protection locked="0"/>
    </xf>
    <xf numFmtId="0" fontId="29" fillId="20" borderId="10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0" borderId="0" xfId="0" applyFont="1" applyAlignment="1">
      <alignment vertical="top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22" fillId="24" borderId="11" xfId="0" applyNumberFormat="1" applyFont="1" applyFill="1" applyBorder="1" applyAlignment="1" applyProtection="1">
      <alignment horizontal="left" vertical="center" shrinkToFit="1"/>
      <protection hidden="1"/>
    </xf>
    <xf numFmtId="0" fontId="22" fillId="24" borderId="12" xfId="0" applyFont="1" applyFill="1" applyBorder="1" applyAlignment="1" applyProtection="1">
      <alignment horizontal="left" vertical="center" shrinkToFit="1"/>
      <protection hidden="1"/>
    </xf>
    <xf numFmtId="0" fontId="22" fillId="24" borderId="12" xfId="0" applyFont="1" applyFill="1" applyBorder="1" applyAlignment="1" applyProtection="1">
      <alignment vertical="center"/>
      <protection hidden="1"/>
    </xf>
    <xf numFmtId="0" fontId="22" fillId="24" borderId="1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top"/>
      <protection/>
    </xf>
    <xf numFmtId="0" fontId="35" fillId="0" borderId="0" xfId="0" applyFont="1" applyFill="1" applyAlignment="1" applyProtection="1">
      <alignment/>
      <protection/>
    </xf>
    <xf numFmtId="0" fontId="36" fillId="24" borderId="12" xfId="0" applyFont="1" applyFill="1" applyBorder="1" applyAlignment="1" applyProtection="1">
      <alignment horizontal="left" vertical="center" shrinkToFit="1"/>
      <protection hidden="1"/>
    </xf>
    <xf numFmtId="0" fontId="36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22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>
      <alignment vertical="top"/>
    </xf>
    <xf numFmtId="180" fontId="22" fillId="0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 quotePrefix="1">
      <alignment/>
      <protection/>
    </xf>
    <xf numFmtId="0" fontId="40" fillId="0" borderId="0" xfId="0" applyFont="1" applyFill="1" applyBorder="1" applyAlignment="1" applyProtection="1">
      <alignment horizontal="left" vertical="center" indent="1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41" fillId="0" borderId="0" xfId="0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>
      <alignment vertical="top"/>
    </xf>
    <xf numFmtId="0" fontId="27" fillId="0" borderId="0" xfId="0" applyFont="1" applyFill="1" applyBorder="1" applyAlignment="1" applyProtection="1">
      <alignment horizontal="left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locked="0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42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43" fillId="0" borderId="0" xfId="0" applyFont="1" applyFill="1" applyBorder="1" applyAlignment="1" applyProtection="1">
      <alignment horizontal="center" vertical="center" shrinkToFit="1"/>
      <protection hidden="1"/>
    </xf>
    <xf numFmtId="0" fontId="43" fillId="0" borderId="0" xfId="0" applyFont="1" applyFill="1" applyBorder="1" applyAlignment="1" applyProtection="1">
      <alignment vertical="center" shrinkToFit="1"/>
      <protection hidden="1"/>
    </xf>
    <xf numFmtId="0" fontId="43" fillId="0" borderId="0" xfId="0" applyFont="1" applyFill="1" applyBorder="1" applyAlignment="1" applyProtection="1">
      <alignment horizontal="left" vertical="center" shrinkToFit="1"/>
      <protection hidden="1"/>
    </xf>
    <xf numFmtId="0" fontId="44" fillId="0" borderId="0" xfId="0" applyFont="1" applyFill="1" applyBorder="1" applyAlignment="1" applyProtection="1">
      <alignment horizontal="center" vertical="center"/>
      <protection hidden="1"/>
    </xf>
    <xf numFmtId="0" fontId="44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45" fillId="0" borderId="0" xfId="880" applyFont="1" applyFill="1" applyAlignment="1" applyProtection="1">
      <alignment horizontal="center"/>
      <protection hidden="1"/>
    </xf>
    <xf numFmtId="0" fontId="46" fillId="0" borderId="0" xfId="0" applyFont="1" applyFill="1" applyBorder="1" applyAlignment="1" applyProtection="1">
      <alignment horizontal="center" vertical="center"/>
      <protection hidden="1"/>
    </xf>
    <xf numFmtId="49" fontId="22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Alignment="1">
      <alignment horizontal="left" vertical="center"/>
    </xf>
    <xf numFmtId="0" fontId="22" fillId="0" borderId="0" xfId="0" applyFont="1" applyFill="1" applyAlignment="1" applyProtection="1">
      <alignment vertical="center" shrinkToFit="1"/>
      <protection hidden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left" shrinkToFit="1"/>
    </xf>
    <xf numFmtId="0" fontId="0" fillId="0" borderId="0" xfId="0" applyFont="1" applyAlignment="1" applyProtection="1">
      <alignment vertical="center" shrinkToFit="1"/>
      <protection hidden="1"/>
    </xf>
    <xf numFmtId="0" fontId="0" fillId="25" borderId="12" xfId="0" applyFont="1" applyFill="1" applyBorder="1" applyAlignment="1">
      <alignment vertical="top" shrinkToFit="1"/>
    </xf>
    <xf numFmtId="0" fontId="0" fillId="0" borderId="0" xfId="0" applyFont="1" applyAlignment="1">
      <alignment vertical="top" shrinkToFit="1"/>
    </xf>
    <xf numFmtId="0" fontId="30" fillId="20" borderId="13" xfId="0" applyFont="1" applyFill="1" applyBorder="1" applyAlignment="1" applyProtection="1">
      <alignment horizontal="left" vertical="top"/>
      <protection/>
    </xf>
    <xf numFmtId="0" fontId="31" fillId="20" borderId="13" xfId="0" applyFont="1" applyFill="1" applyBorder="1" applyAlignment="1" applyProtection="1">
      <alignment horizontal="left" vertical="top" shrinkToFit="1"/>
      <protection/>
    </xf>
    <xf numFmtId="49" fontId="30" fillId="20" borderId="13" xfId="0" applyNumberFormat="1" applyFont="1" applyFill="1" applyBorder="1" applyAlignment="1" applyProtection="1">
      <alignment horizontal="left" vertical="top"/>
      <protection hidden="1"/>
    </xf>
    <xf numFmtId="0" fontId="30" fillId="20" borderId="13" xfId="0" applyFont="1" applyFill="1" applyBorder="1" applyAlignment="1" applyProtection="1">
      <alignment horizontal="left" vertical="top"/>
      <protection hidden="1"/>
    </xf>
    <xf numFmtId="0" fontId="30" fillId="20" borderId="13" xfId="0" applyFont="1" applyFill="1" applyBorder="1" applyAlignment="1" applyProtection="1">
      <alignment horizontal="left" vertical="top" wrapText="1"/>
      <protection/>
    </xf>
    <xf numFmtId="0" fontId="34" fillId="26" borderId="12" xfId="0" applyFont="1" applyFill="1" applyBorder="1" applyAlignment="1" applyProtection="1">
      <alignment horizontal="left" vertical="top"/>
      <protection/>
    </xf>
    <xf numFmtId="0" fontId="33" fillId="26" borderId="12" xfId="0" applyFont="1" applyFill="1" applyBorder="1" applyAlignment="1" applyProtection="1">
      <alignment horizontal="left" vertical="top"/>
      <protection/>
    </xf>
    <xf numFmtId="0" fontId="33" fillId="26" borderId="12" xfId="0" applyFont="1" applyFill="1" applyBorder="1" applyAlignment="1" applyProtection="1">
      <alignment horizontal="center" vertical="top"/>
      <protection/>
    </xf>
    <xf numFmtId="2" fontId="33" fillId="26" borderId="12" xfId="0" applyNumberFormat="1" applyFont="1" applyFill="1" applyBorder="1" applyAlignment="1" applyProtection="1">
      <alignment horizontal="left" vertical="top"/>
      <protection/>
    </xf>
    <xf numFmtId="0" fontId="0" fillId="0" borderId="14" xfId="0" applyFont="1" applyFill="1" applyBorder="1" applyAlignment="1" applyProtection="1">
      <alignment horizontal="left" vertical="top"/>
      <protection/>
    </xf>
    <xf numFmtId="0" fontId="0" fillId="0" borderId="14" xfId="0" applyFont="1" applyFill="1" applyBorder="1" applyAlignment="1" applyProtection="1">
      <alignment horizontal="center" vertical="top"/>
      <protection/>
    </xf>
    <xf numFmtId="0" fontId="0" fillId="0" borderId="14" xfId="0" applyFont="1" applyFill="1" applyBorder="1" applyAlignment="1" applyProtection="1">
      <alignment vertical="top"/>
      <protection/>
    </xf>
    <xf numFmtId="0" fontId="22" fillId="24" borderId="12" xfId="0" applyFont="1" applyFill="1" applyBorder="1" applyAlignment="1" applyProtection="1">
      <alignment vertical="top"/>
      <protection hidden="1"/>
    </xf>
    <xf numFmtId="0" fontId="22" fillId="24" borderId="12" xfId="0" applyFont="1" applyFill="1" applyBorder="1" applyAlignment="1" applyProtection="1">
      <alignment horizontal="center" vertical="top"/>
      <protection hidden="1"/>
    </xf>
    <xf numFmtId="0" fontId="0" fillId="27" borderId="12" xfId="0" applyFont="1" applyFill="1" applyBorder="1" applyAlignment="1">
      <alignment vertical="top"/>
    </xf>
    <xf numFmtId="0" fontId="22" fillId="24" borderId="12" xfId="0" applyFont="1" applyFill="1" applyBorder="1" applyAlignment="1" applyProtection="1">
      <alignment horizontal="left" vertical="top"/>
      <protection hidden="1"/>
    </xf>
    <xf numFmtId="0" fontId="22" fillId="24" borderId="12" xfId="0" applyFont="1" applyFill="1" applyBorder="1" applyAlignment="1" applyProtection="1">
      <alignment vertical="top"/>
      <protection hidden="1"/>
    </xf>
    <xf numFmtId="0" fontId="22" fillId="24" borderId="12" xfId="0" applyFont="1" applyFill="1" applyBorder="1" applyAlignment="1" applyProtection="1">
      <alignment horizontal="center" vertical="top"/>
      <protection hidden="1"/>
    </xf>
    <xf numFmtId="0" fontId="22" fillId="24" borderId="15" xfId="0" applyFont="1" applyFill="1" applyBorder="1" applyAlignment="1" applyProtection="1">
      <alignment vertical="top"/>
      <protection hidden="1"/>
    </xf>
    <xf numFmtId="0" fontId="0" fillId="25" borderId="12" xfId="0" applyFont="1" applyFill="1" applyBorder="1" applyAlignment="1">
      <alignment vertical="top"/>
    </xf>
    <xf numFmtId="0" fontId="0" fillId="0" borderId="16" xfId="0" applyFont="1" applyFill="1" applyBorder="1" applyAlignment="1" applyProtection="1">
      <alignment horizontal="center" vertical="top"/>
      <protection/>
    </xf>
    <xf numFmtId="0" fontId="22" fillId="24" borderId="12" xfId="0" applyFont="1" applyFill="1" applyBorder="1" applyAlignment="1" applyProtection="1">
      <alignment vertical="top" shrinkToFit="1"/>
      <protection hidden="1"/>
    </xf>
    <xf numFmtId="0" fontId="22" fillId="24" borderId="12" xfId="0" applyFont="1" applyFill="1" applyBorder="1" applyAlignment="1" applyProtection="1">
      <alignment horizontal="center" vertical="top" shrinkToFit="1"/>
      <protection hidden="1"/>
    </xf>
    <xf numFmtId="0" fontId="22" fillId="24" borderId="15" xfId="0" applyFont="1" applyFill="1" applyBorder="1" applyAlignment="1" applyProtection="1">
      <alignment vertical="top" shrinkToFit="1"/>
      <protection hidden="1"/>
    </xf>
    <xf numFmtId="0" fontId="33" fillId="7" borderId="12" xfId="0" applyFont="1" applyFill="1" applyBorder="1" applyAlignment="1" applyProtection="1">
      <alignment horizontal="center" vertical="top"/>
      <protection hidden="1"/>
    </xf>
    <xf numFmtId="2" fontId="33" fillId="7" borderId="12" xfId="0" applyNumberFormat="1" applyFont="1" applyFill="1" applyBorder="1" applyAlignment="1" applyProtection="1">
      <alignment horizontal="left" vertical="top"/>
      <protection hidden="1"/>
    </xf>
    <xf numFmtId="0" fontId="33" fillId="7" borderId="12" xfId="0" applyFont="1" applyFill="1" applyBorder="1" applyAlignment="1" applyProtection="1">
      <alignment horizontal="left" vertical="top"/>
      <protection hidden="1"/>
    </xf>
    <xf numFmtId="0" fontId="0" fillId="0" borderId="14" xfId="0" applyFont="1" applyFill="1" applyBorder="1" applyAlignment="1" applyProtection="1">
      <alignment horizontal="center" vertical="top" wrapText="1"/>
      <protection locked="0"/>
    </xf>
    <xf numFmtId="0" fontId="33" fillId="7" borderId="12" xfId="0" applyFont="1" applyFill="1" applyBorder="1" applyAlignment="1" applyProtection="1">
      <alignment horizontal="center" vertical="top"/>
      <protection/>
    </xf>
    <xf numFmtId="2" fontId="33" fillId="7" borderId="12" xfId="0" applyNumberFormat="1" applyFont="1" applyFill="1" applyBorder="1" applyAlignment="1" applyProtection="1">
      <alignment horizontal="left" vertical="top"/>
      <protection/>
    </xf>
    <xf numFmtId="0" fontId="33" fillId="7" borderId="12" xfId="0" applyFont="1" applyFill="1" applyBorder="1" applyAlignment="1" applyProtection="1">
      <alignment horizontal="left" vertical="top"/>
      <protection/>
    </xf>
    <xf numFmtId="0" fontId="0" fillId="0" borderId="14" xfId="0" applyFont="1" applyFill="1" applyBorder="1" applyAlignment="1" applyProtection="1">
      <alignment horizontal="left" vertical="top"/>
      <protection locked="0"/>
    </xf>
    <xf numFmtId="0" fontId="0" fillId="0" borderId="14" xfId="0" applyFont="1" applyFill="1" applyBorder="1" applyAlignment="1" applyProtection="1">
      <alignment horizontal="center" vertical="top" shrinkToFit="1"/>
      <protection locked="0"/>
    </xf>
    <xf numFmtId="0" fontId="0" fillId="0" borderId="14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 applyProtection="1">
      <alignment vertical="center" shrinkToFit="1"/>
      <protection hidden="1"/>
    </xf>
    <xf numFmtId="0" fontId="22" fillId="0" borderId="0" xfId="0" applyFont="1" applyFill="1" applyBorder="1" applyAlignment="1" applyProtection="1">
      <alignment vertical="top"/>
      <protection/>
    </xf>
    <xf numFmtId="0" fontId="22" fillId="0" borderId="0" xfId="0" applyFont="1" applyFill="1" applyBorder="1" applyAlignment="1">
      <alignment vertical="top" shrinkToFit="1"/>
    </xf>
    <xf numFmtId="0" fontId="25" fillId="0" borderId="17" xfId="0" applyNumberFormat="1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30" fillId="20" borderId="19" xfId="0" applyNumberFormat="1" applyFont="1" applyFill="1" applyBorder="1" applyAlignment="1" applyProtection="1">
      <alignment horizontal="left" vertical="top"/>
      <protection/>
    </xf>
    <xf numFmtId="0" fontId="32" fillId="20" borderId="20" xfId="0" applyFont="1" applyFill="1" applyBorder="1" applyAlignment="1" applyProtection="1">
      <alignment horizontal="left" vertical="top" wrapText="1"/>
      <protection/>
    </xf>
    <xf numFmtId="0" fontId="33" fillId="26" borderId="21" xfId="0" applyFont="1" applyFill="1" applyBorder="1" applyAlignment="1" applyProtection="1">
      <alignment horizontal="left" vertical="top"/>
      <protection/>
    </xf>
    <xf numFmtId="0" fontId="33" fillId="26" borderId="22" xfId="0" applyFont="1" applyFill="1" applyBorder="1" applyAlignment="1" applyProtection="1">
      <alignment horizontal="left" vertical="top"/>
      <protection/>
    </xf>
    <xf numFmtId="0" fontId="35" fillId="0" borderId="14" xfId="0" applyFont="1" applyFill="1" applyBorder="1" applyAlignment="1" applyProtection="1">
      <alignment horizontal="center" vertical="top"/>
      <protection/>
    </xf>
    <xf numFmtId="0" fontId="0" fillId="25" borderId="22" xfId="0" applyFont="1" applyFill="1" applyBorder="1" applyAlignment="1">
      <alignment vertical="top"/>
    </xf>
    <xf numFmtId="0" fontId="0" fillId="27" borderId="22" xfId="0" applyFont="1" applyFill="1" applyBorder="1" applyAlignment="1">
      <alignment vertical="top"/>
    </xf>
    <xf numFmtId="0" fontId="0" fillId="25" borderId="22" xfId="0" applyFont="1" applyFill="1" applyBorder="1" applyAlignment="1">
      <alignment vertical="top" shrinkToFit="1"/>
    </xf>
    <xf numFmtId="0" fontId="33" fillId="7" borderId="22" xfId="0" applyFont="1" applyFill="1" applyBorder="1" applyAlignment="1" applyProtection="1">
      <alignment horizontal="left" vertical="top"/>
      <protection hidden="1"/>
    </xf>
    <xf numFmtId="0" fontId="0" fillId="0" borderId="14" xfId="0" applyFont="1" applyFill="1" applyBorder="1" applyAlignment="1" applyProtection="1">
      <alignment horizontal="center" vertical="top" shrinkToFit="1"/>
      <protection/>
    </xf>
    <xf numFmtId="0" fontId="36" fillId="24" borderId="22" xfId="0" applyFont="1" applyFill="1" applyBorder="1" applyAlignment="1" applyProtection="1">
      <alignment horizontal="left" vertical="top" shrinkToFit="1"/>
      <protection hidden="1"/>
    </xf>
    <xf numFmtId="0" fontId="33" fillId="7" borderId="22" xfId="0" applyFont="1" applyFill="1" applyBorder="1" applyAlignment="1" applyProtection="1">
      <alignment horizontal="left" vertical="top"/>
      <protection/>
    </xf>
    <xf numFmtId="0" fontId="0" fillId="0" borderId="14" xfId="0" applyFont="1" applyFill="1" applyBorder="1" applyAlignment="1">
      <alignment vertical="top" wrapText="1"/>
    </xf>
    <xf numFmtId="0" fontId="0" fillId="0" borderId="0" xfId="0" applyFont="1" applyFill="1" applyBorder="1" applyAlignment="1" applyProtection="1" quotePrefix="1">
      <alignment horizontal="left" vertical="top" shrinkToFit="1"/>
      <protection/>
    </xf>
    <xf numFmtId="0" fontId="0" fillId="0" borderId="0" xfId="0" applyFont="1" applyFill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left" vertical="center" shrinkToFit="1"/>
      <protection/>
    </xf>
    <xf numFmtId="0" fontId="0" fillId="0" borderId="14" xfId="0" applyFont="1" applyFill="1" applyBorder="1" applyAlignment="1" applyProtection="1">
      <alignment vertical="top" wrapText="1"/>
      <protection/>
    </xf>
    <xf numFmtId="49" fontId="22" fillId="24" borderId="12" xfId="0" applyNumberFormat="1" applyFont="1" applyFill="1" applyBorder="1" applyAlignment="1" applyProtection="1">
      <alignment horizontal="left" vertical="top"/>
      <protection hidden="1"/>
    </xf>
    <xf numFmtId="49" fontId="22" fillId="24" borderId="12" xfId="0" applyNumberFormat="1" applyFont="1" applyFill="1" applyBorder="1" applyAlignment="1" applyProtection="1">
      <alignment vertical="top" wrapText="1"/>
      <protection hidden="1"/>
    </xf>
    <xf numFmtId="0" fontId="0" fillId="0" borderId="16" xfId="0" applyFont="1" applyFill="1" applyBorder="1" applyAlignment="1" applyProtection="1">
      <alignment vertical="top" wrapText="1"/>
      <protection/>
    </xf>
    <xf numFmtId="49" fontId="22" fillId="24" borderId="12" xfId="0" applyNumberFormat="1" applyFont="1" applyFill="1" applyBorder="1" applyAlignment="1" applyProtection="1">
      <alignment vertical="top" shrinkToFit="1"/>
      <protection hidden="1"/>
    </xf>
    <xf numFmtId="49" fontId="22" fillId="24" borderId="12" xfId="0" applyNumberFormat="1" applyFont="1" applyFill="1" applyBorder="1" applyAlignment="1" applyProtection="1">
      <alignment vertical="top"/>
      <protection hidden="1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49" fontId="22" fillId="24" borderId="12" xfId="0" applyNumberFormat="1" applyFont="1" applyFill="1" applyBorder="1" applyAlignment="1" applyProtection="1">
      <alignment horizontal="left" vertical="center"/>
      <protection hidden="1"/>
    </xf>
    <xf numFmtId="0" fontId="49" fillId="20" borderId="13" xfId="0" applyNumberFormat="1" applyFont="1" applyFill="1" applyBorder="1" applyAlignment="1" applyProtection="1">
      <alignment horizontal="right" vertical="top"/>
      <protection/>
    </xf>
    <xf numFmtId="0" fontId="48" fillId="26" borderId="12" xfId="0" applyFont="1" applyFill="1" applyBorder="1" applyAlignment="1" applyProtection="1">
      <alignment horizontal="left" vertical="top"/>
      <protection/>
    </xf>
    <xf numFmtId="0" fontId="48" fillId="26" borderId="12" xfId="0" applyFont="1" applyFill="1" applyBorder="1" applyAlignment="1" applyProtection="1">
      <alignment vertical="top"/>
      <protection/>
    </xf>
    <xf numFmtId="0" fontId="49" fillId="20" borderId="13" xfId="0" applyNumberFormat="1" applyFont="1" applyFill="1" applyBorder="1" applyAlignment="1" applyProtection="1">
      <alignment vertical="top"/>
      <protection/>
    </xf>
    <xf numFmtId="0" fontId="48" fillId="7" borderId="12" xfId="0" applyFont="1" applyFill="1" applyBorder="1" applyAlignment="1" applyProtection="1">
      <alignment vertical="top"/>
      <protection hidden="1"/>
    </xf>
    <xf numFmtId="0" fontId="48" fillId="7" borderId="12" xfId="0" applyFont="1" applyFill="1" applyBorder="1" applyAlignment="1" applyProtection="1">
      <alignment vertical="top"/>
      <protection/>
    </xf>
    <xf numFmtId="0" fontId="0" fillId="0" borderId="23" xfId="0" applyFont="1" applyFill="1" applyBorder="1" applyAlignment="1" applyProtection="1">
      <alignment vertical="top" wrapText="1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30" fillId="20" borderId="13" xfId="0" applyFont="1" applyFill="1" applyBorder="1" applyAlignment="1" applyProtection="1">
      <alignment horizontal="left" vertical="top"/>
      <protection/>
    </xf>
    <xf numFmtId="0" fontId="33" fillId="26" borderId="12" xfId="0" applyFont="1" applyFill="1" applyBorder="1" applyAlignment="1" applyProtection="1">
      <alignment horizontal="center" vertical="top"/>
      <protection hidden="1"/>
    </xf>
    <xf numFmtId="0" fontId="0" fillId="0" borderId="14" xfId="0" applyFont="1" applyFill="1" applyBorder="1" applyAlignment="1" applyProtection="1">
      <alignment horizontal="center" vertical="top"/>
      <protection/>
    </xf>
    <xf numFmtId="0" fontId="22" fillId="24" borderId="12" xfId="0" applyFont="1" applyFill="1" applyBorder="1" applyAlignment="1" applyProtection="1">
      <alignment horizontal="left" vertical="center"/>
      <protection hidden="1"/>
    </xf>
    <xf numFmtId="0" fontId="0" fillId="0" borderId="23" xfId="0" applyFont="1" applyFill="1" applyBorder="1" applyAlignment="1" applyProtection="1">
      <alignment horizontal="center" vertical="top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Font="1" applyBorder="1" applyAlignment="1">
      <alignment vertical="top" wrapText="1"/>
    </xf>
    <xf numFmtId="0" fontId="50" fillId="26" borderId="12" xfId="0" applyFont="1" applyFill="1" applyBorder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/>
    </xf>
    <xf numFmtId="0" fontId="0" fillId="0" borderId="14" xfId="495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4" xfId="495" applyFont="1" applyFill="1" applyBorder="1" applyAlignment="1">
      <alignment horizontal="center" vertical="center"/>
      <protection/>
    </xf>
    <xf numFmtId="49" fontId="22" fillId="24" borderId="24" xfId="0" applyNumberFormat="1" applyFont="1" applyFill="1" applyBorder="1" applyAlignment="1" applyProtection="1">
      <alignment vertical="top" wrapText="1"/>
      <protection hidden="1"/>
    </xf>
    <xf numFmtId="0" fontId="22" fillId="24" borderId="24" xfId="0" applyFont="1" applyFill="1" applyBorder="1" applyAlignment="1" applyProtection="1">
      <alignment vertical="top"/>
      <protection hidden="1"/>
    </xf>
    <xf numFmtId="0" fontId="22" fillId="24" borderId="24" xfId="0" applyFont="1" applyFill="1" applyBorder="1" applyAlignment="1" applyProtection="1">
      <alignment horizontal="center" vertical="top"/>
      <protection hidden="1"/>
    </xf>
    <xf numFmtId="0" fontId="22" fillId="24" borderId="25" xfId="0" applyFont="1" applyFill="1" applyBorder="1" applyAlignment="1" applyProtection="1">
      <alignment vertical="top"/>
      <protection hidden="1"/>
    </xf>
    <xf numFmtId="0" fontId="0" fillId="25" borderId="24" xfId="0" applyFont="1" applyFill="1" applyBorder="1" applyAlignment="1">
      <alignment vertical="top"/>
    </xf>
    <xf numFmtId="0" fontId="0" fillId="25" borderId="26" xfId="0" applyFont="1" applyFill="1" applyBorder="1" applyAlignment="1">
      <alignment vertical="top"/>
    </xf>
    <xf numFmtId="0" fontId="0" fillId="0" borderId="27" xfId="0" applyFont="1" applyFill="1" applyBorder="1" applyAlignment="1" applyProtection="1">
      <alignment vertical="top" wrapText="1"/>
      <protection/>
    </xf>
    <xf numFmtId="0" fontId="0" fillId="0" borderId="27" xfId="0" applyFont="1" applyFill="1" applyBorder="1" applyAlignment="1" applyProtection="1">
      <alignment horizontal="center" vertical="top"/>
      <protection/>
    </xf>
    <xf numFmtId="0" fontId="1" fillId="0" borderId="14" xfId="431" applyFont="1" applyFill="1" applyBorder="1" applyAlignment="1">
      <alignment horizontal="left" vertical="top" wrapText="1"/>
      <protection/>
    </xf>
    <xf numFmtId="0" fontId="1" fillId="0" borderId="14" xfId="486" applyFont="1" applyBorder="1" applyAlignment="1">
      <alignment horizontal="left" vertical="top" wrapText="1"/>
      <protection/>
    </xf>
    <xf numFmtId="0" fontId="37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28" xfId="0" applyFont="1" applyFill="1" applyBorder="1" applyAlignment="1" applyProtection="1">
      <alignment horizontal="center" vertical="top"/>
      <protection/>
    </xf>
    <xf numFmtId="0" fontId="63" fillId="0" borderId="14" xfId="0" applyFont="1" applyFill="1" applyBorder="1" applyAlignment="1">
      <alignment vertical="top" wrapText="1"/>
    </xf>
    <xf numFmtId="0" fontId="63" fillId="0" borderId="14" xfId="418" applyFont="1" applyFill="1" applyBorder="1" applyAlignment="1">
      <alignment horizontal="left" vertical="top" wrapText="1"/>
      <protection/>
    </xf>
    <xf numFmtId="0" fontId="63" fillId="0" borderId="14" xfId="0" applyFont="1" applyFill="1" applyBorder="1" applyAlignment="1" applyProtection="1">
      <alignment vertical="top" wrapText="1"/>
      <protection/>
    </xf>
    <xf numFmtId="0" fontId="63" fillId="0" borderId="14" xfId="431" applyFont="1" applyFill="1" applyBorder="1" applyAlignment="1">
      <alignment horizontal="left" vertical="top" wrapText="1"/>
      <protection/>
    </xf>
    <xf numFmtId="0" fontId="63" fillId="0" borderId="14" xfId="483" applyFont="1" applyFill="1" applyBorder="1" applyAlignment="1">
      <alignment horizontal="left" vertical="top" wrapText="1"/>
      <protection/>
    </xf>
    <xf numFmtId="0" fontId="0" fillId="28" borderId="14" xfId="0" applyFont="1" applyFill="1" applyBorder="1" applyAlignment="1">
      <alignment vertical="top" wrapText="1"/>
    </xf>
    <xf numFmtId="0" fontId="0" fillId="0" borderId="29" xfId="0" applyFont="1" applyFill="1" applyBorder="1" applyAlignment="1" applyProtection="1">
      <alignment vertical="top" wrapText="1"/>
      <protection/>
    </xf>
    <xf numFmtId="0" fontId="52" fillId="20" borderId="10" xfId="0" applyFont="1" applyFill="1" applyBorder="1" applyAlignment="1" applyProtection="1">
      <alignment horizontal="center" vertical="center" textRotation="90" wrapText="1"/>
      <protection locked="0"/>
    </xf>
    <xf numFmtId="49" fontId="53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28" borderId="14" xfId="0" applyFont="1" applyFill="1" applyBorder="1" applyAlignment="1" applyProtection="1">
      <alignment vertical="top" wrapText="1"/>
      <protection/>
    </xf>
    <xf numFmtId="0" fontId="47" fillId="0" borderId="14" xfId="0" applyFont="1" applyFill="1" applyBorder="1" applyAlignment="1">
      <alignment vertical="top" wrapText="1"/>
    </xf>
    <xf numFmtId="0" fontId="63" fillId="0" borderId="14" xfId="0" applyFont="1" applyBorder="1" applyAlignment="1">
      <alignment vertical="top" wrapText="1"/>
    </xf>
    <xf numFmtId="14" fontId="0" fillId="0" borderId="0" xfId="0" applyNumberFormat="1" applyFont="1" applyAlignment="1">
      <alignment horizontal="left"/>
    </xf>
    <xf numFmtId="0" fontId="39" fillId="0" borderId="0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 hidden="1"/>
    </xf>
    <xf numFmtId="0" fontId="29" fillId="0" borderId="0" xfId="0" applyNumberFormat="1" applyFont="1" applyFill="1" applyBorder="1" applyAlignment="1" applyProtection="1">
      <alignment horizontal="center" vertical="center" textRotation="90" shrinkToFit="1"/>
      <protection locked="0"/>
    </xf>
    <xf numFmtId="0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14" xfId="405" applyFont="1" applyFill="1" applyBorder="1" applyAlignment="1">
      <alignment horizontal="left" vertical="top" wrapText="1"/>
      <protection/>
    </xf>
    <xf numFmtId="0" fontId="0" fillId="29" borderId="14" xfId="0" applyFont="1" applyFill="1" applyBorder="1" applyAlignment="1">
      <alignment vertical="top" wrapText="1"/>
    </xf>
    <xf numFmtId="0" fontId="1" fillId="0" borderId="14" xfId="444" applyFont="1" applyFill="1" applyBorder="1" applyAlignment="1">
      <alignment horizontal="left" vertical="top" wrapText="1"/>
      <protection/>
    </xf>
    <xf numFmtId="0" fontId="1" fillId="28" borderId="14" xfId="492" applyFont="1" applyFill="1" applyBorder="1" applyAlignment="1">
      <alignment horizontal="left" vertical="top" wrapText="1"/>
      <protection/>
    </xf>
    <xf numFmtId="0" fontId="63" fillId="0" borderId="14" xfId="470" applyFont="1" applyFill="1" applyBorder="1" applyAlignment="1">
      <alignment horizontal="left" vertical="top" wrapText="1"/>
      <protection/>
    </xf>
    <xf numFmtId="0" fontId="0" fillId="28" borderId="14" xfId="0" applyFont="1" applyFill="1" applyBorder="1" applyAlignment="1" applyProtection="1">
      <alignment vertical="top" wrapText="1"/>
      <protection/>
    </xf>
    <xf numFmtId="0" fontId="0" fillId="28" borderId="14" xfId="0" applyFont="1" applyFill="1" applyBorder="1" applyAlignment="1">
      <alignment vertical="top" wrapText="1"/>
    </xf>
    <xf numFmtId="0" fontId="37" fillId="0" borderId="14" xfId="0" applyFont="1" applyFill="1" applyBorder="1" applyAlignment="1" applyProtection="1">
      <alignment horizontal="left" vertical="top"/>
      <protection/>
    </xf>
    <xf numFmtId="0" fontId="37" fillId="0" borderId="14" xfId="0" applyFont="1" applyFill="1" applyBorder="1" applyAlignment="1" applyProtection="1">
      <alignment horizontal="left" vertical="top" shrinkToFit="1"/>
      <protection/>
    </xf>
    <xf numFmtId="49" fontId="37" fillId="0" borderId="14" xfId="0" applyNumberFormat="1" applyFont="1" applyFill="1" applyBorder="1" applyAlignment="1" applyProtection="1">
      <alignment horizontal="left" vertical="top"/>
      <protection/>
    </xf>
    <xf numFmtId="0" fontId="36" fillId="24" borderId="21" xfId="0" applyNumberFormat="1" applyFont="1" applyFill="1" applyBorder="1" applyAlignment="1" applyProtection="1">
      <alignment horizontal="left" vertical="top" shrinkToFit="1"/>
      <protection hidden="1"/>
    </xf>
    <xf numFmtId="0" fontId="36" fillId="24" borderId="12" xfId="0" applyFont="1" applyFill="1" applyBorder="1" applyAlignment="1" applyProtection="1">
      <alignment horizontal="left" vertical="top" shrinkToFit="1"/>
      <protection hidden="1"/>
    </xf>
    <xf numFmtId="0" fontId="36" fillId="24" borderId="12" xfId="0" applyFont="1" applyFill="1" applyBorder="1" applyAlignment="1" applyProtection="1">
      <alignment horizontal="left" vertical="top"/>
      <protection hidden="1"/>
    </xf>
    <xf numFmtId="0" fontId="54" fillId="26" borderId="21" xfId="0" applyFont="1" applyFill="1" applyBorder="1" applyAlignment="1" applyProtection="1">
      <alignment horizontal="left" vertical="top"/>
      <protection/>
    </xf>
    <xf numFmtId="0" fontId="56" fillId="26" borderId="12" xfId="0" applyFont="1" applyFill="1" applyBorder="1" applyAlignment="1" applyProtection="1">
      <alignment horizontal="left" vertical="top"/>
      <protection/>
    </xf>
    <xf numFmtId="0" fontId="37" fillId="0" borderId="27" xfId="0" applyFont="1" applyFill="1" applyBorder="1" applyAlignment="1" applyProtection="1">
      <alignment horizontal="left" vertical="top"/>
      <protection/>
    </xf>
    <xf numFmtId="0" fontId="37" fillId="0" borderId="27" xfId="0" applyFont="1" applyFill="1" applyBorder="1" applyAlignment="1" applyProtection="1">
      <alignment horizontal="left" vertical="top" shrinkToFit="1"/>
      <protection/>
    </xf>
    <xf numFmtId="0" fontId="37" fillId="28" borderId="14" xfId="0" applyFont="1" applyFill="1" applyBorder="1" applyAlignment="1" applyProtection="1">
      <alignment horizontal="left" vertical="top"/>
      <protection/>
    </xf>
    <xf numFmtId="0" fontId="37" fillId="28" borderId="14" xfId="0" applyFont="1" applyFill="1" applyBorder="1" applyAlignment="1" applyProtection="1">
      <alignment horizontal="left" vertical="top" shrinkToFit="1"/>
      <protection/>
    </xf>
    <xf numFmtId="0" fontId="64" fillId="0" borderId="14" xfId="0" applyFont="1" applyFill="1" applyBorder="1" applyAlignment="1" applyProtection="1">
      <alignment horizontal="left" vertical="top"/>
      <protection/>
    </xf>
    <xf numFmtId="0" fontId="64" fillId="0" borderId="14" xfId="0" applyFont="1" applyFill="1" applyBorder="1" applyAlignment="1" applyProtection="1">
      <alignment horizontal="left" vertical="top" shrinkToFit="1"/>
      <protection/>
    </xf>
    <xf numFmtId="49" fontId="37" fillId="28" borderId="14" xfId="0" applyNumberFormat="1" applyFont="1" applyFill="1" applyBorder="1" applyAlignment="1" applyProtection="1">
      <alignment horizontal="left" vertical="top"/>
      <protection/>
    </xf>
    <xf numFmtId="0" fontId="37" fillId="0" borderId="28" xfId="0" applyFont="1" applyFill="1" applyBorder="1" applyAlignment="1" applyProtection="1">
      <alignment horizontal="left" vertical="top"/>
      <protection/>
    </xf>
    <xf numFmtId="0" fontId="37" fillId="0" borderId="28" xfId="0" applyFont="1" applyFill="1" applyBorder="1" applyAlignment="1" applyProtection="1">
      <alignment horizontal="left" vertical="top" shrinkToFit="1"/>
      <protection/>
    </xf>
    <xf numFmtId="0" fontId="37" fillId="0" borderId="30" xfId="0" applyFont="1" applyFill="1" applyBorder="1" applyAlignment="1" applyProtection="1">
      <alignment horizontal="left" vertical="top"/>
      <protection/>
    </xf>
    <xf numFmtId="0" fontId="37" fillId="0" borderId="16" xfId="0" applyFont="1" applyFill="1" applyBorder="1" applyAlignment="1" applyProtection="1">
      <alignment horizontal="left" vertical="top"/>
      <protection/>
    </xf>
    <xf numFmtId="0" fontId="37" fillId="0" borderId="16" xfId="0" applyFont="1" applyFill="1" applyBorder="1" applyAlignment="1" applyProtection="1">
      <alignment horizontal="left" vertical="top" shrinkToFit="1"/>
      <protection/>
    </xf>
    <xf numFmtId="0" fontId="36" fillId="24" borderId="31" xfId="0" applyNumberFormat="1" applyFont="1" applyFill="1" applyBorder="1" applyAlignment="1" applyProtection="1">
      <alignment horizontal="left" vertical="top" shrinkToFit="1"/>
      <protection hidden="1"/>
    </xf>
    <xf numFmtId="0" fontId="36" fillId="24" borderId="24" xfId="0" applyFont="1" applyFill="1" applyBorder="1" applyAlignment="1" applyProtection="1">
      <alignment horizontal="left" vertical="top"/>
      <protection hidden="1"/>
    </xf>
    <xf numFmtId="0" fontId="36" fillId="24" borderId="24" xfId="0" applyFont="1" applyFill="1" applyBorder="1" applyAlignment="1" applyProtection="1">
      <alignment horizontal="left" vertical="top" shrinkToFit="1"/>
      <protection hidden="1"/>
    </xf>
    <xf numFmtId="0" fontId="37" fillId="0" borderId="29" xfId="0" applyFont="1" applyFill="1" applyBorder="1" applyAlignment="1" applyProtection="1">
      <alignment horizontal="left" vertical="top"/>
      <protection/>
    </xf>
    <xf numFmtId="0" fontId="32" fillId="20" borderId="19" xfId="0" applyNumberFormat="1" applyFont="1" applyFill="1" applyBorder="1" applyAlignment="1" applyProtection="1">
      <alignment horizontal="left" vertical="top"/>
      <protection/>
    </xf>
    <xf numFmtId="0" fontId="32" fillId="20" borderId="13" xfId="0" applyFont="1" applyFill="1" applyBorder="1" applyAlignment="1" applyProtection="1">
      <alignment horizontal="left" vertical="top"/>
      <protection/>
    </xf>
    <xf numFmtId="0" fontId="57" fillId="20" borderId="13" xfId="0" applyFont="1" applyFill="1" applyBorder="1" applyAlignment="1" applyProtection="1">
      <alignment horizontal="left" vertical="top" shrinkToFit="1"/>
      <protection/>
    </xf>
    <xf numFmtId="0" fontId="54" fillId="7" borderId="21" xfId="0" applyFont="1" applyFill="1" applyBorder="1" applyAlignment="1" applyProtection="1">
      <alignment horizontal="left" vertical="top"/>
      <protection hidden="1"/>
    </xf>
    <xf numFmtId="0" fontId="58" fillId="7" borderId="12" xfId="0" applyFont="1" applyFill="1" applyBorder="1" applyAlignment="1" applyProtection="1">
      <alignment horizontal="left" vertical="top"/>
      <protection hidden="1"/>
    </xf>
    <xf numFmtId="0" fontId="54" fillId="7" borderId="21" xfId="0" applyFont="1" applyFill="1" applyBorder="1" applyAlignment="1" applyProtection="1">
      <alignment horizontal="left" vertical="top"/>
      <protection/>
    </xf>
    <xf numFmtId="0" fontId="58" fillId="7" borderId="12" xfId="0" applyFont="1" applyFill="1" applyBorder="1" applyAlignment="1" applyProtection="1">
      <alignment horizontal="left" vertical="top"/>
      <protection/>
    </xf>
    <xf numFmtId="0" fontId="37" fillId="0" borderId="14" xfId="0" applyNumberFormat="1" applyFont="1" applyFill="1" applyBorder="1" applyAlignment="1">
      <alignment horizontal="left" vertical="top"/>
    </xf>
    <xf numFmtId="0" fontId="55" fillId="26" borderId="12" xfId="0" applyFont="1" applyFill="1" applyBorder="1" applyAlignment="1" applyProtection="1">
      <alignment horizontal="left" vertical="top"/>
      <protection/>
    </xf>
    <xf numFmtId="0" fontId="54" fillId="26" borderId="12" xfId="0" applyFont="1" applyFill="1" applyBorder="1" applyAlignment="1" applyProtection="1">
      <alignment horizontal="left" vertical="top"/>
      <protection hidden="1"/>
    </xf>
    <xf numFmtId="0" fontId="38" fillId="0" borderId="14" xfId="0" applyFont="1" applyBorder="1" applyAlignment="1">
      <alignment horizontal="left" vertical="top" wrapText="1"/>
    </xf>
    <xf numFmtId="0" fontId="55" fillId="7" borderId="12" xfId="0" applyFont="1" applyFill="1" applyBorder="1" applyAlignment="1" applyProtection="1">
      <alignment horizontal="left" vertical="top"/>
      <protection hidden="1"/>
    </xf>
    <xf numFmtId="0" fontId="54" fillId="7" borderId="12" xfId="0" applyFont="1" applyFill="1" applyBorder="1" applyAlignment="1" applyProtection="1">
      <alignment horizontal="left" vertical="top"/>
      <protection hidden="1"/>
    </xf>
    <xf numFmtId="0" fontId="38" fillId="0" borderId="14" xfId="0" applyFont="1" applyBorder="1" applyAlignment="1">
      <alignment horizontal="left" vertical="top"/>
    </xf>
    <xf numFmtId="0" fontId="55" fillId="7" borderId="12" xfId="0" applyFont="1" applyFill="1" applyBorder="1" applyAlignment="1" applyProtection="1">
      <alignment horizontal="left" vertical="top"/>
      <protection/>
    </xf>
    <xf numFmtId="0" fontId="36" fillId="24" borderId="21" xfId="0" applyNumberFormat="1" applyFont="1" applyFill="1" applyBorder="1" applyAlignment="1" applyProtection="1">
      <alignment horizontal="left" vertical="top"/>
      <protection hidden="1"/>
    </xf>
    <xf numFmtId="0" fontId="37" fillId="0" borderId="14" xfId="495" applyFont="1" applyBorder="1" applyAlignment="1">
      <alignment horizontal="left" vertical="top"/>
      <protection/>
    </xf>
    <xf numFmtId="0" fontId="37" fillId="0" borderId="14" xfId="495" applyFont="1" applyBorder="1" applyAlignment="1">
      <alignment horizontal="left" vertical="top" wrapText="1"/>
      <protection/>
    </xf>
    <xf numFmtId="0" fontId="63" fillId="0" borderId="14" xfId="457" applyFont="1" applyFill="1" applyBorder="1" applyAlignment="1">
      <alignment horizontal="left" vertical="top" wrapText="1"/>
      <protection/>
    </xf>
    <xf numFmtId="0" fontId="1" fillId="0" borderId="14" xfId="489" applyFont="1" applyFill="1" applyBorder="1" applyAlignment="1">
      <alignment horizontal="left" vertical="top" wrapText="1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horizontal="left" vertical="center" indent="1"/>
      <protection/>
    </xf>
    <xf numFmtId="0" fontId="26" fillId="0" borderId="0" xfId="0" applyFont="1" applyFill="1" applyBorder="1" applyAlignment="1" applyProtection="1">
      <alignment horizontal="left" vertical="center" indent="1"/>
      <protection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46" fillId="0" borderId="0" xfId="0" applyFont="1" applyFill="1" applyBorder="1" applyAlignment="1" applyProtection="1">
      <alignment horizontal="center" vertical="center"/>
      <protection hidden="1"/>
    </xf>
    <xf numFmtId="0" fontId="42" fillId="0" borderId="0" xfId="0" applyFont="1" applyFill="1" applyBorder="1" applyAlignment="1" applyProtection="1">
      <alignment horizontal="center" vertical="center"/>
      <protection hidden="1"/>
    </xf>
  </cellXfs>
  <cellStyles count="940">
    <cellStyle name="Normal" xfId="0"/>
    <cellStyle name="20% - Акцент1" xfId="15"/>
    <cellStyle name="20% - Акцент1 2" xfId="16"/>
    <cellStyle name="20% - Акцент1 2 2" xfId="17"/>
    <cellStyle name="20% - Акцент1 2 3" xfId="18"/>
    <cellStyle name="20% - Акцент1 2 4" xfId="19"/>
    <cellStyle name="20% - Акцент1 3" xfId="20"/>
    <cellStyle name="20% - Акцент1 4" xfId="21"/>
    <cellStyle name="20% - Акцент1 5" xfId="22"/>
    <cellStyle name="20% - Акцент1 6" xfId="23"/>
    <cellStyle name="20% - Акцент1 7" xfId="24"/>
    <cellStyle name="20% - Акцент1 8" xfId="25"/>
    <cellStyle name="20% - Акцент2" xfId="26"/>
    <cellStyle name="20% - Акцент2 2" xfId="27"/>
    <cellStyle name="20% - Акцент2 2 2" xfId="28"/>
    <cellStyle name="20% - Акцент2 2 3" xfId="29"/>
    <cellStyle name="20% - Акцент2 2 4" xfId="30"/>
    <cellStyle name="20% - Акцент2 3" xfId="31"/>
    <cellStyle name="20% - Акцент2 4" xfId="32"/>
    <cellStyle name="20% - Акцент2 5" xfId="33"/>
    <cellStyle name="20% - Акцент2 6" xfId="34"/>
    <cellStyle name="20% - Акцент2 7" xfId="35"/>
    <cellStyle name="20% - Акцент2 8" xfId="36"/>
    <cellStyle name="20% - Акцент3" xfId="37"/>
    <cellStyle name="20% - Акцент3 2" xfId="38"/>
    <cellStyle name="20% - Акцент3 2 2" xfId="39"/>
    <cellStyle name="20% - Акцент3 2 3" xfId="40"/>
    <cellStyle name="20% - Акцент3 2 4" xfId="41"/>
    <cellStyle name="20% - Акцент3 3" xfId="42"/>
    <cellStyle name="20% - Акцент3 4" xfId="43"/>
    <cellStyle name="20% - Акцент3 5" xfId="44"/>
    <cellStyle name="20% - Акцент3 6" xfId="45"/>
    <cellStyle name="20% - Акцент3 7" xfId="46"/>
    <cellStyle name="20% - Акцент3 8" xfId="47"/>
    <cellStyle name="20% - Акцент4" xfId="48"/>
    <cellStyle name="20% - Акцент4 2" xfId="49"/>
    <cellStyle name="20% - Акцент4 2 2" xfId="50"/>
    <cellStyle name="20% - Акцент4 2 3" xfId="51"/>
    <cellStyle name="20% - Акцент4 2 4" xfId="52"/>
    <cellStyle name="20% - Акцент4 3" xfId="53"/>
    <cellStyle name="20% - Акцент4 4" xfId="54"/>
    <cellStyle name="20% - Акцент4 5" xfId="55"/>
    <cellStyle name="20% - Акцент4 6" xfId="56"/>
    <cellStyle name="20% - Акцент4 7" xfId="57"/>
    <cellStyle name="20% - Акцент4 8" xfId="58"/>
    <cellStyle name="20% - Акцент5" xfId="59"/>
    <cellStyle name="20% - Акцент5 2" xfId="60"/>
    <cellStyle name="20% - Акцент5 2 2" xfId="61"/>
    <cellStyle name="20% - Акцент5 2 3" xfId="62"/>
    <cellStyle name="20% - Акцент5 2 4" xfId="63"/>
    <cellStyle name="20% - Акцент5 3" xfId="64"/>
    <cellStyle name="20% - Акцент5 4" xfId="65"/>
    <cellStyle name="20% - Акцент5 5" xfId="66"/>
    <cellStyle name="20% - Акцент5 6" xfId="67"/>
    <cellStyle name="20% - Акцент5 7" xfId="68"/>
    <cellStyle name="20% - Акцент5 8" xfId="69"/>
    <cellStyle name="20% - Акцент6" xfId="70"/>
    <cellStyle name="20% - Акцент6 2" xfId="71"/>
    <cellStyle name="20% - Акцент6 2 2" xfId="72"/>
    <cellStyle name="20% - Акцент6 2 3" xfId="73"/>
    <cellStyle name="20% - Акцент6 2 4" xfId="74"/>
    <cellStyle name="20% - Акцент6 3" xfId="75"/>
    <cellStyle name="20% - Акцент6 4" xfId="76"/>
    <cellStyle name="20% - Акцент6 5" xfId="77"/>
    <cellStyle name="20% - Акцент6 6" xfId="78"/>
    <cellStyle name="20% - Акцент6 7" xfId="79"/>
    <cellStyle name="20% - Акцент6 8" xfId="80"/>
    <cellStyle name="40% - Акцент1" xfId="81"/>
    <cellStyle name="40% - Акцент1 2" xfId="82"/>
    <cellStyle name="40% - Акцент1 2 2" xfId="83"/>
    <cellStyle name="40% - Акцент1 2 3" xfId="84"/>
    <cellStyle name="40% - Акцент1 2 4" xfId="85"/>
    <cellStyle name="40% - Акцент1 3" xfId="86"/>
    <cellStyle name="40% - Акцент1 4" xfId="87"/>
    <cellStyle name="40% - Акцент1 5" xfId="88"/>
    <cellStyle name="40% - Акцент1 6" xfId="89"/>
    <cellStyle name="40% - Акцент1 7" xfId="90"/>
    <cellStyle name="40% - Акцент1 8" xfId="91"/>
    <cellStyle name="40% - Акцент2" xfId="92"/>
    <cellStyle name="40% - Акцент2 2" xfId="93"/>
    <cellStyle name="40% - Акцент2 2 2" xfId="94"/>
    <cellStyle name="40% - Акцент2 2 3" xfId="95"/>
    <cellStyle name="40% - Акцент2 2 4" xfId="96"/>
    <cellStyle name="40% - Акцент2 3" xfId="97"/>
    <cellStyle name="40% - Акцент2 4" xfId="98"/>
    <cellStyle name="40% - Акцент2 5" xfId="99"/>
    <cellStyle name="40% - Акцент2 6" xfId="100"/>
    <cellStyle name="40% - Акцент2 7" xfId="101"/>
    <cellStyle name="40% - Акцент2 8" xfId="102"/>
    <cellStyle name="40% - Акцент3" xfId="103"/>
    <cellStyle name="40% - Акцент3 2" xfId="104"/>
    <cellStyle name="40% - Акцент3 2 2" xfId="105"/>
    <cellStyle name="40% - Акцент3 2 3" xfId="106"/>
    <cellStyle name="40% - Акцент3 2 4" xfId="107"/>
    <cellStyle name="40% - Акцент3 3" xfId="108"/>
    <cellStyle name="40% - Акцент3 4" xfId="109"/>
    <cellStyle name="40% - Акцент3 5" xfId="110"/>
    <cellStyle name="40% - Акцент3 6" xfId="111"/>
    <cellStyle name="40% - Акцент3 7" xfId="112"/>
    <cellStyle name="40% - Акцент3 8" xfId="113"/>
    <cellStyle name="40% - Акцент4" xfId="114"/>
    <cellStyle name="40% - Акцент4 2" xfId="115"/>
    <cellStyle name="40% - Акцент4 2 2" xfId="116"/>
    <cellStyle name="40% - Акцент4 2 3" xfId="117"/>
    <cellStyle name="40% - Акцент4 2 4" xfId="118"/>
    <cellStyle name="40% - Акцент4 3" xfId="119"/>
    <cellStyle name="40% - Акцент4 4" xfId="120"/>
    <cellStyle name="40% - Акцент4 5" xfId="121"/>
    <cellStyle name="40% - Акцент4 6" xfId="122"/>
    <cellStyle name="40% - Акцент4 7" xfId="123"/>
    <cellStyle name="40% - Акцент4 8" xfId="124"/>
    <cellStyle name="40% - Акцент5" xfId="125"/>
    <cellStyle name="40% - Акцент5 2" xfId="126"/>
    <cellStyle name="40% - Акцент5 2 2" xfId="127"/>
    <cellStyle name="40% - Акцент5 2 3" xfId="128"/>
    <cellStyle name="40% - Акцент5 2 4" xfId="129"/>
    <cellStyle name="40% - Акцент5 3" xfId="130"/>
    <cellStyle name="40% - Акцент5 4" xfId="131"/>
    <cellStyle name="40% - Акцент5 5" xfId="132"/>
    <cellStyle name="40% - Акцент5 6" xfId="133"/>
    <cellStyle name="40% - Акцент5 7" xfId="134"/>
    <cellStyle name="40% - Акцент5 8" xfId="135"/>
    <cellStyle name="40% - Акцент6" xfId="136"/>
    <cellStyle name="40% - Акцент6 2" xfId="137"/>
    <cellStyle name="40% - Акцент6 2 2" xfId="138"/>
    <cellStyle name="40% - Акцент6 2 3" xfId="139"/>
    <cellStyle name="40% - Акцент6 2 4" xfId="140"/>
    <cellStyle name="40% - Акцент6 3" xfId="141"/>
    <cellStyle name="40% - Акцент6 4" xfId="142"/>
    <cellStyle name="40% - Акцент6 5" xfId="143"/>
    <cellStyle name="40% - Акцент6 6" xfId="144"/>
    <cellStyle name="40% - Акцент6 7" xfId="145"/>
    <cellStyle name="40% - Акцент6 8" xfId="146"/>
    <cellStyle name="60% - Акцент1" xfId="147"/>
    <cellStyle name="60% - Акцент1 2" xfId="148"/>
    <cellStyle name="60% - Акцент1 2 2" xfId="149"/>
    <cellStyle name="60% - Акцент1 2 3" xfId="150"/>
    <cellStyle name="60% - Акцент1 2 4" xfId="151"/>
    <cellStyle name="60% - Акцент1 3" xfId="152"/>
    <cellStyle name="60% - Акцент1 4" xfId="153"/>
    <cellStyle name="60% - Акцент1 5" xfId="154"/>
    <cellStyle name="60% - Акцент1 6" xfId="155"/>
    <cellStyle name="60% - Акцент1 7" xfId="156"/>
    <cellStyle name="60% - Акцент1 8" xfId="157"/>
    <cellStyle name="60% - Акцент2" xfId="158"/>
    <cellStyle name="60% - Акцент2 2" xfId="159"/>
    <cellStyle name="60% - Акцент2 2 2" xfId="160"/>
    <cellStyle name="60% - Акцент2 2 3" xfId="161"/>
    <cellStyle name="60% - Акцент2 2 4" xfId="162"/>
    <cellStyle name="60% - Акцент2 3" xfId="163"/>
    <cellStyle name="60% - Акцент2 4" xfId="164"/>
    <cellStyle name="60% - Акцент2 5" xfId="165"/>
    <cellStyle name="60% - Акцент2 6" xfId="166"/>
    <cellStyle name="60% - Акцент2 7" xfId="167"/>
    <cellStyle name="60% - Акцент2 8" xfId="168"/>
    <cellStyle name="60% - Акцент3" xfId="169"/>
    <cellStyle name="60% - Акцент3 2" xfId="170"/>
    <cellStyle name="60% - Акцент3 2 2" xfId="171"/>
    <cellStyle name="60% - Акцент3 2 3" xfId="172"/>
    <cellStyle name="60% - Акцент3 2 4" xfId="173"/>
    <cellStyle name="60% - Акцент3 3" xfId="174"/>
    <cellStyle name="60% - Акцент3 4" xfId="175"/>
    <cellStyle name="60% - Акцент3 5" xfId="176"/>
    <cellStyle name="60% - Акцент3 6" xfId="177"/>
    <cellStyle name="60% - Акцент3 7" xfId="178"/>
    <cellStyle name="60% - Акцент3 8" xfId="179"/>
    <cellStyle name="60% - Акцент4" xfId="180"/>
    <cellStyle name="60% - Акцент4 2" xfId="181"/>
    <cellStyle name="60% - Акцент4 2 2" xfId="182"/>
    <cellStyle name="60% - Акцент4 2 3" xfId="183"/>
    <cellStyle name="60% - Акцент4 2 4" xfId="184"/>
    <cellStyle name="60% - Акцент4 3" xfId="185"/>
    <cellStyle name="60% - Акцент4 4" xfId="186"/>
    <cellStyle name="60% - Акцент4 5" xfId="187"/>
    <cellStyle name="60% - Акцент4 6" xfId="188"/>
    <cellStyle name="60% - Акцент4 7" xfId="189"/>
    <cellStyle name="60% - Акцент4 8" xfId="190"/>
    <cellStyle name="60% - Акцент5" xfId="191"/>
    <cellStyle name="60% - Акцент5 2" xfId="192"/>
    <cellStyle name="60% - Акцент5 2 2" xfId="193"/>
    <cellStyle name="60% - Акцент5 2 3" xfId="194"/>
    <cellStyle name="60% - Акцент5 2 4" xfId="195"/>
    <cellStyle name="60% - Акцент5 3" xfId="196"/>
    <cellStyle name="60% - Акцент5 4" xfId="197"/>
    <cellStyle name="60% - Акцент5 5" xfId="198"/>
    <cellStyle name="60% - Акцент5 6" xfId="199"/>
    <cellStyle name="60% - Акцент5 7" xfId="200"/>
    <cellStyle name="60% - Акцент5 8" xfId="201"/>
    <cellStyle name="60% - Акцент6" xfId="202"/>
    <cellStyle name="60% - Акцент6 2" xfId="203"/>
    <cellStyle name="60% - Акцент6 2 2" xfId="204"/>
    <cellStyle name="60% - Акцент6 2 3" xfId="205"/>
    <cellStyle name="60% - Акцент6 2 4" xfId="206"/>
    <cellStyle name="60% - Акцент6 3" xfId="207"/>
    <cellStyle name="60% - Акцент6 4" xfId="208"/>
    <cellStyle name="60% - Акцент6 5" xfId="209"/>
    <cellStyle name="60% - Акцент6 6" xfId="210"/>
    <cellStyle name="60% - Акцент6 7" xfId="211"/>
    <cellStyle name="60% - Акцент6 8" xfId="212"/>
    <cellStyle name="Excel Built-in Normal 3" xfId="213"/>
    <cellStyle name="Normal_Данные_по_АЗС  Вис-сервис" xfId="214"/>
    <cellStyle name="Акцент1" xfId="215"/>
    <cellStyle name="Акцент1 2" xfId="216"/>
    <cellStyle name="Акцент1 2 2" xfId="217"/>
    <cellStyle name="Акцент1 2 3" xfId="218"/>
    <cellStyle name="Акцент1 2 4" xfId="219"/>
    <cellStyle name="Акцент1 3" xfId="220"/>
    <cellStyle name="Акцент1 4" xfId="221"/>
    <cellStyle name="Акцент1 5" xfId="222"/>
    <cellStyle name="Акцент1 6" xfId="223"/>
    <cellStyle name="Акцент1 7" xfId="224"/>
    <cellStyle name="Акцент1 8" xfId="225"/>
    <cellStyle name="Акцент2" xfId="226"/>
    <cellStyle name="Акцент2 2" xfId="227"/>
    <cellStyle name="Акцент2 2 2" xfId="228"/>
    <cellStyle name="Акцент2 2 3" xfId="229"/>
    <cellStyle name="Акцент2 2 4" xfId="230"/>
    <cellStyle name="Акцент2 3" xfId="231"/>
    <cellStyle name="Акцент2 4" xfId="232"/>
    <cellStyle name="Акцент2 5" xfId="233"/>
    <cellStyle name="Акцент2 6" xfId="234"/>
    <cellStyle name="Акцент2 7" xfId="235"/>
    <cellStyle name="Акцент2 8" xfId="236"/>
    <cellStyle name="Акцент3" xfId="237"/>
    <cellStyle name="Акцент3 2" xfId="238"/>
    <cellStyle name="Акцент3 2 2" xfId="239"/>
    <cellStyle name="Акцент3 2 3" xfId="240"/>
    <cellStyle name="Акцент3 2 4" xfId="241"/>
    <cellStyle name="Акцент3 3" xfId="242"/>
    <cellStyle name="Акцент3 4" xfId="243"/>
    <cellStyle name="Акцент3 5" xfId="244"/>
    <cellStyle name="Акцент3 6" xfId="245"/>
    <cellStyle name="Акцент3 7" xfId="246"/>
    <cellStyle name="Акцент3 8" xfId="247"/>
    <cellStyle name="Акцент4" xfId="248"/>
    <cellStyle name="Акцент4 2" xfId="249"/>
    <cellStyle name="Акцент4 2 2" xfId="250"/>
    <cellStyle name="Акцент4 2 3" xfId="251"/>
    <cellStyle name="Акцент4 2 4" xfId="252"/>
    <cellStyle name="Акцент4 3" xfId="253"/>
    <cellStyle name="Акцент4 4" xfId="254"/>
    <cellStyle name="Акцент4 5" xfId="255"/>
    <cellStyle name="Акцент4 6" xfId="256"/>
    <cellStyle name="Акцент4 7" xfId="257"/>
    <cellStyle name="Акцент4 8" xfId="258"/>
    <cellStyle name="Акцент5" xfId="259"/>
    <cellStyle name="Акцент5 2" xfId="260"/>
    <cellStyle name="Акцент5 2 2" xfId="261"/>
    <cellStyle name="Акцент5 2 3" xfId="262"/>
    <cellStyle name="Акцент5 2 4" xfId="263"/>
    <cellStyle name="Акцент5 3" xfId="264"/>
    <cellStyle name="Акцент5 4" xfId="265"/>
    <cellStyle name="Акцент5 5" xfId="266"/>
    <cellStyle name="Акцент5 6" xfId="267"/>
    <cellStyle name="Акцент5 7" xfId="268"/>
    <cellStyle name="Акцент5 8" xfId="269"/>
    <cellStyle name="Акцент6" xfId="270"/>
    <cellStyle name="Акцент6 2" xfId="271"/>
    <cellStyle name="Акцент6 2 2" xfId="272"/>
    <cellStyle name="Акцент6 2 3" xfId="273"/>
    <cellStyle name="Акцент6 2 4" xfId="274"/>
    <cellStyle name="Акцент6 3" xfId="275"/>
    <cellStyle name="Акцент6 4" xfId="276"/>
    <cellStyle name="Акцент6 5" xfId="277"/>
    <cellStyle name="Акцент6 6" xfId="278"/>
    <cellStyle name="Акцент6 7" xfId="279"/>
    <cellStyle name="Акцент6 8" xfId="280"/>
    <cellStyle name="Ввод " xfId="281"/>
    <cellStyle name="Ввод  2" xfId="282"/>
    <cellStyle name="Ввод  2 2" xfId="283"/>
    <cellStyle name="Ввод  2 3" xfId="284"/>
    <cellStyle name="Ввод  2 4" xfId="285"/>
    <cellStyle name="Ввод  3" xfId="286"/>
    <cellStyle name="Ввод  4" xfId="287"/>
    <cellStyle name="Ввод  5" xfId="288"/>
    <cellStyle name="Ввод  6" xfId="289"/>
    <cellStyle name="Ввод  7" xfId="290"/>
    <cellStyle name="Ввод  8" xfId="291"/>
    <cellStyle name="Вывод" xfId="292"/>
    <cellStyle name="Вывод 2" xfId="293"/>
    <cellStyle name="Вывод 2 2" xfId="294"/>
    <cellStyle name="Вывод 2 3" xfId="295"/>
    <cellStyle name="Вывод 2 4" xfId="296"/>
    <cellStyle name="Вывод 3" xfId="297"/>
    <cellStyle name="Вывод 4" xfId="298"/>
    <cellStyle name="Вывод 5" xfId="299"/>
    <cellStyle name="Вывод 6" xfId="300"/>
    <cellStyle name="Вывод 7" xfId="301"/>
    <cellStyle name="Вывод 8" xfId="302"/>
    <cellStyle name="Вычисление" xfId="303"/>
    <cellStyle name="Вычисление 2" xfId="304"/>
    <cellStyle name="Вычисление 2 2" xfId="305"/>
    <cellStyle name="Вычисление 2 3" xfId="306"/>
    <cellStyle name="Вычисление 2 4" xfId="307"/>
    <cellStyle name="Вычисление 3" xfId="308"/>
    <cellStyle name="Вычисление 4" xfId="309"/>
    <cellStyle name="Вычисление 5" xfId="310"/>
    <cellStyle name="Вычисление 6" xfId="311"/>
    <cellStyle name="Вычисление 7" xfId="312"/>
    <cellStyle name="Вычисление 8" xfId="313"/>
    <cellStyle name="Hyperlink" xfId="314"/>
    <cellStyle name="Currency" xfId="315"/>
    <cellStyle name="Currency [0]" xfId="316"/>
    <cellStyle name="Заголовок 1" xfId="317"/>
    <cellStyle name="Заголовок 1 2" xfId="318"/>
    <cellStyle name="Заголовок 1 2 2" xfId="319"/>
    <cellStyle name="Заголовок 1 2 3" xfId="320"/>
    <cellStyle name="Заголовок 1 2 4" xfId="321"/>
    <cellStyle name="Заголовок 1 3" xfId="322"/>
    <cellStyle name="Заголовок 1 4" xfId="323"/>
    <cellStyle name="Заголовок 1 5" xfId="324"/>
    <cellStyle name="Заголовок 1 6" xfId="325"/>
    <cellStyle name="Заголовок 1 7" xfId="326"/>
    <cellStyle name="Заголовок 1 8" xfId="327"/>
    <cellStyle name="Заголовок 2" xfId="328"/>
    <cellStyle name="Заголовок 2 2" xfId="329"/>
    <cellStyle name="Заголовок 2 2 2" xfId="330"/>
    <cellStyle name="Заголовок 2 2 3" xfId="331"/>
    <cellStyle name="Заголовок 2 2 4" xfId="332"/>
    <cellStyle name="Заголовок 2 3" xfId="333"/>
    <cellStyle name="Заголовок 2 4" xfId="334"/>
    <cellStyle name="Заголовок 2 5" xfId="335"/>
    <cellStyle name="Заголовок 2 6" xfId="336"/>
    <cellStyle name="Заголовок 2 7" xfId="337"/>
    <cellStyle name="Заголовок 2 8" xfId="338"/>
    <cellStyle name="Заголовок 3" xfId="339"/>
    <cellStyle name="Заголовок 3 2" xfId="340"/>
    <cellStyle name="Заголовок 3 2 2" xfId="341"/>
    <cellStyle name="Заголовок 3 2 3" xfId="342"/>
    <cellStyle name="Заголовок 3 2 4" xfId="343"/>
    <cellStyle name="Заголовок 3 3" xfId="344"/>
    <cellStyle name="Заголовок 3 4" xfId="345"/>
    <cellStyle name="Заголовок 3 5" xfId="346"/>
    <cellStyle name="Заголовок 3 6" xfId="347"/>
    <cellStyle name="Заголовок 3 7" xfId="348"/>
    <cellStyle name="Заголовок 3 8" xfId="349"/>
    <cellStyle name="Заголовок 4" xfId="350"/>
    <cellStyle name="Заголовок 4 2" xfId="351"/>
    <cellStyle name="Заголовок 4 2 2" xfId="352"/>
    <cellStyle name="Заголовок 4 2 3" xfId="353"/>
    <cellStyle name="Заголовок 4 2 4" xfId="354"/>
    <cellStyle name="Заголовок 4 3" xfId="355"/>
    <cellStyle name="Заголовок 4 4" xfId="356"/>
    <cellStyle name="Заголовок 4 5" xfId="357"/>
    <cellStyle name="Заголовок 4 6" xfId="358"/>
    <cellStyle name="Заголовок 4 7" xfId="359"/>
    <cellStyle name="Заголовок 4 8" xfId="360"/>
    <cellStyle name="Итог" xfId="361"/>
    <cellStyle name="Итог 2" xfId="362"/>
    <cellStyle name="Итог 2 2" xfId="363"/>
    <cellStyle name="Итог 2 3" xfId="364"/>
    <cellStyle name="Итог 2 4" xfId="365"/>
    <cellStyle name="Итог 3" xfId="366"/>
    <cellStyle name="Итог 4" xfId="367"/>
    <cellStyle name="Итог 5" xfId="368"/>
    <cellStyle name="Итог 6" xfId="369"/>
    <cellStyle name="Итог 7" xfId="370"/>
    <cellStyle name="Итог 8" xfId="371"/>
    <cellStyle name="Контрольная ячейка" xfId="372"/>
    <cellStyle name="Контрольная ячейка 2" xfId="373"/>
    <cellStyle name="Контрольная ячейка 2 2" xfId="374"/>
    <cellStyle name="Контрольная ячейка 2 3" xfId="375"/>
    <cellStyle name="Контрольная ячейка 2 4" xfId="376"/>
    <cellStyle name="Контрольная ячейка 3" xfId="377"/>
    <cellStyle name="Контрольная ячейка 4" xfId="378"/>
    <cellStyle name="Контрольная ячейка 5" xfId="379"/>
    <cellStyle name="Контрольная ячейка 6" xfId="380"/>
    <cellStyle name="Контрольная ячейка 7" xfId="381"/>
    <cellStyle name="Контрольная ячейка 8" xfId="382"/>
    <cellStyle name="Название" xfId="383"/>
    <cellStyle name="Название 2" xfId="384"/>
    <cellStyle name="Название 2 2" xfId="385"/>
    <cellStyle name="Название 2 3" xfId="386"/>
    <cellStyle name="Название 2 4" xfId="387"/>
    <cellStyle name="Название 3" xfId="388"/>
    <cellStyle name="Название 4" xfId="389"/>
    <cellStyle name="Название 5" xfId="390"/>
    <cellStyle name="Название 6" xfId="391"/>
    <cellStyle name="Название 7" xfId="392"/>
    <cellStyle name="Название 8" xfId="393"/>
    <cellStyle name="Нейтральный" xfId="394"/>
    <cellStyle name="Нейтральный 2" xfId="395"/>
    <cellStyle name="Нейтральный 2 2" xfId="396"/>
    <cellStyle name="Нейтральный 2 3" xfId="397"/>
    <cellStyle name="Нейтральный 2 4" xfId="398"/>
    <cellStyle name="Нейтральный 3" xfId="399"/>
    <cellStyle name="Нейтральный 4" xfId="400"/>
    <cellStyle name="Нейтральный 5" xfId="401"/>
    <cellStyle name="Нейтральный 6" xfId="402"/>
    <cellStyle name="Нейтральный 7" xfId="403"/>
    <cellStyle name="Нейтральный 8" xfId="404"/>
    <cellStyle name="Обычный 10" xfId="405"/>
    <cellStyle name="Обычный 10 2" xfId="406"/>
    <cellStyle name="Обычный 10 3" xfId="407"/>
    <cellStyle name="Обычный 100" xfId="408"/>
    <cellStyle name="Обычный 101" xfId="409"/>
    <cellStyle name="Обычный 102" xfId="410"/>
    <cellStyle name="Обычный 103" xfId="411"/>
    <cellStyle name="Обычный 104" xfId="412"/>
    <cellStyle name="Обычный 105" xfId="413"/>
    <cellStyle name="Обычный 106" xfId="414"/>
    <cellStyle name="Обычный 107" xfId="415"/>
    <cellStyle name="Обычный 108" xfId="416"/>
    <cellStyle name="Обычный 109" xfId="417"/>
    <cellStyle name="Обычный 11" xfId="418"/>
    <cellStyle name="Обычный 11 2" xfId="419"/>
    <cellStyle name="Обычный 11 3" xfId="420"/>
    <cellStyle name="Обычный 110" xfId="421"/>
    <cellStyle name="Обычный 111" xfId="422"/>
    <cellStyle name="Обычный 112" xfId="423"/>
    <cellStyle name="Обычный 113" xfId="424"/>
    <cellStyle name="Обычный 114" xfId="425"/>
    <cellStyle name="Обычный 115" xfId="426"/>
    <cellStyle name="Обычный 116" xfId="427"/>
    <cellStyle name="Обычный 117" xfId="428"/>
    <cellStyle name="Обычный 118" xfId="429"/>
    <cellStyle name="Обычный 119" xfId="430"/>
    <cellStyle name="Обычный 12" xfId="431"/>
    <cellStyle name="Обычный 12 2" xfId="432"/>
    <cellStyle name="Обычный 12 3" xfId="433"/>
    <cellStyle name="Обычный 120" xfId="434"/>
    <cellStyle name="Обычный 121" xfId="435"/>
    <cellStyle name="Обычный 122" xfId="436"/>
    <cellStyle name="Обычный 123" xfId="437"/>
    <cellStyle name="Обычный 124" xfId="438"/>
    <cellStyle name="Обычный 125" xfId="439"/>
    <cellStyle name="Обычный 126" xfId="440"/>
    <cellStyle name="Обычный 127" xfId="441"/>
    <cellStyle name="Обычный 128" xfId="442"/>
    <cellStyle name="Обычный 129" xfId="443"/>
    <cellStyle name="Обычный 13" xfId="444"/>
    <cellStyle name="Обычный 13 2" xfId="445"/>
    <cellStyle name="Обычный 13 3" xfId="446"/>
    <cellStyle name="Обычный 130" xfId="447"/>
    <cellStyle name="Обычный 131" xfId="448"/>
    <cellStyle name="Обычный 132" xfId="449"/>
    <cellStyle name="Обычный 133" xfId="450"/>
    <cellStyle name="Обычный 134" xfId="451"/>
    <cellStyle name="Обычный 135" xfId="452"/>
    <cellStyle name="Обычный 136" xfId="453"/>
    <cellStyle name="Обычный 137" xfId="454"/>
    <cellStyle name="Обычный 138" xfId="455"/>
    <cellStyle name="Обычный 139" xfId="456"/>
    <cellStyle name="Обычный 14" xfId="457"/>
    <cellStyle name="Обычный 14 2" xfId="458"/>
    <cellStyle name="Обычный 14 3" xfId="459"/>
    <cellStyle name="Обычный 140" xfId="460"/>
    <cellStyle name="Обычный 141" xfId="461"/>
    <cellStyle name="Обычный 142" xfId="462"/>
    <cellStyle name="Обычный 143" xfId="463"/>
    <cellStyle name="Обычный 144" xfId="464"/>
    <cellStyle name="Обычный 145" xfId="465"/>
    <cellStyle name="Обычный 146" xfId="466"/>
    <cellStyle name="Обычный 147" xfId="467"/>
    <cellStyle name="Обычный 148" xfId="468"/>
    <cellStyle name="Обычный 149" xfId="469"/>
    <cellStyle name="Обычный 15" xfId="470"/>
    <cellStyle name="Обычный 15 2" xfId="471"/>
    <cellStyle name="Обычный 15 3" xfId="472"/>
    <cellStyle name="Обычный 150" xfId="473"/>
    <cellStyle name="Обычный 151" xfId="474"/>
    <cellStyle name="Обычный 152" xfId="475"/>
    <cellStyle name="Обычный 153" xfId="476"/>
    <cellStyle name="Обычный 154" xfId="477"/>
    <cellStyle name="Обычный 155" xfId="478"/>
    <cellStyle name="Обычный 156" xfId="479"/>
    <cellStyle name="Обычный 157" xfId="480"/>
    <cellStyle name="Обычный 158" xfId="481"/>
    <cellStyle name="Обычный 159" xfId="482"/>
    <cellStyle name="Обычный 16" xfId="483"/>
    <cellStyle name="Обычный 16 2" xfId="484"/>
    <cellStyle name="Обычный 16 3" xfId="485"/>
    <cellStyle name="Обычный 17" xfId="486"/>
    <cellStyle name="Обычный 17 2" xfId="487"/>
    <cellStyle name="Обычный 17 3" xfId="488"/>
    <cellStyle name="Обычный 18" xfId="489"/>
    <cellStyle name="Обычный 18 2" xfId="490"/>
    <cellStyle name="Обычный 18 3" xfId="491"/>
    <cellStyle name="Обычный 19" xfId="492"/>
    <cellStyle name="Обычный 19 2" xfId="493"/>
    <cellStyle name="Обычный 19 3" xfId="494"/>
    <cellStyle name="Обычный 2" xfId="495"/>
    <cellStyle name="Обычный 2 10" xfId="496"/>
    <cellStyle name="Обычный 2 11" xfId="497"/>
    <cellStyle name="Обычный 2 12" xfId="498"/>
    <cellStyle name="Обычный 2 13" xfId="499"/>
    <cellStyle name="Обычный 2 14" xfId="500"/>
    <cellStyle name="Обычный 2 15" xfId="501"/>
    <cellStyle name="Обычный 2 16" xfId="502"/>
    <cellStyle name="Обычный 2 17" xfId="503"/>
    <cellStyle name="Обычный 2 18" xfId="504"/>
    <cellStyle name="Обычный 2 19" xfId="505"/>
    <cellStyle name="Обычный 2 2" xfId="506"/>
    <cellStyle name="Обычный 2 2 10" xfId="507"/>
    <cellStyle name="Обычный 2 2 11" xfId="508"/>
    <cellStyle name="Обычный 2 2 12" xfId="509"/>
    <cellStyle name="Обычный 2 2 13" xfId="510"/>
    <cellStyle name="Обычный 2 2 14" xfId="511"/>
    <cellStyle name="Обычный 2 2 15" xfId="512"/>
    <cellStyle name="Обычный 2 2 16" xfId="513"/>
    <cellStyle name="Обычный 2 2 17" xfId="514"/>
    <cellStyle name="Обычный 2 2 18" xfId="515"/>
    <cellStyle name="Обычный 2 2 19" xfId="516"/>
    <cellStyle name="Обычный 2 2 2" xfId="517"/>
    <cellStyle name="Обычный 2 2 2 2" xfId="518"/>
    <cellStyle name="Обычный 2 2 2 2 2" xfId="519"/>
    <cellStyle name="Обычный 2 2 2 3" xfId="520"/>
    <cellStyle name="Обычный 2 2 2 4" xfId="521"/>
    <cellStyle name="Обычный 2 2 20" xfId="522"/>
    <cellStyle name="Обычный 2 2 21" xfId="523"/>
    <cellStyle name="Обычный 2 2 22" xfId="524"/>
    <cellStyle name="Обычный 2 2 23" xfId="525"/>
    <cellStyle name="Обычный 2 2 24" xfId="526"/>
    <cellStyle name="Обычный 2 2 25" xfId="527"/>
    <cellStyle name="Обычный 2 2 26" xfId="528"/>
    <cellStyle name="Обычный 2 2 27" xfId="529"/>
    <cellStyle name="Обычный 2 2 28" xfId="530"/>
    <cellStyle name="Обычный 2 2 29" xfId="531"/>
    <cellStyle name="Обычный 2 2 3" xfId="532"/>
    <cellStyle name="Обычный 2 2 3 2" xfId="533"/>
    <cellStyle name="Обычный 2 2 30" xfId="534"/>
    <cellStyle name="Обычный 2 2 31" xfId="535"/>
    <cellStyle name="Обычный 2 2 32" xfId="536"/>
    <cellStyle name="Обычный 2 2 33" xfId="537"/>
    <cellStyle name="Обычный 2 2 34" xfId="538"/>
    <cellStyle name="Обычный 2 2 35" xfId="539"/>
    <cellStyle name="Обычный 2 2 36" xfId="540"/>
    <cellStyle name="Обычный 2 2 37" xfId="541"/>
    <cellStyle name="Обычный 2 2 38" xfId="542"/>
    <cellStyle name="Обычный 2 2 39" xfId="543"/>
    <cellStyle name="Обычный 2 2 4" xfId="544"/>
    <cellStyle name="Обычный 2 2 40" xfId="545"/>
    <cellStyle name="Обычный 2 2 41" xfId="546"/>
    <cellStyle name="Обычный 2 2 42" xfId="547"/>
    <cellStyle name="Обычный 2 2 43" xfId="548"/>
    <cellStyle name="Обычный 2 2 44" xfId="549"/>
    <cellStyle name="Обычный 2 2 45" xfId="550"/>
    <cellStyle name="Обычный 2 2 46" xfId="551"/>
    <cellStyle name="Обычный 2 2 47" xfId="552"/>
    <cellStyle name="Обычный 2 2 48" xfId="553"/>
    <cellStyle name="Обычный 2 2 49" xfId="554"/>
    <cellStyle name="Обычный 2 2 5" xfId="555"/>
    <cellStyle name="Обычный 2 2 50" xfId="556"/>
    <cellStyle name="Обычный 2 2 51" xfId="557"/>
    <cellStyle name="Обычный 2 2 52" xfId="558"/>
    <cellStyle name="Обычный 2 2 53" xfId="559"/>
    <cellStyle name="Обычный 2 2 54" xfId="560"/>
    <cellStyle name="Обычный 2 2 55" xfId="561"/>
    <cellStyle name="Обычный 2 2 56" xfId="562"/>
    <cellStyle name="Обычный 2 2 57" xfId="563"/>
    <cellStyle name="Обычный 2 2 58" xfId="564"/>
    <cellStyle name="Обычный 2 2 59" xfId="565"/>
    <cellStyle name="Обычный 2 2 6" xfId="566"/>
    <cellStyle name="Обычный 2 2 60" xfId="567"/>
    <cellStyle name="Обычный 2 2 61" xfId="568"/>
    <cellStyle name="Обычный 2 2 62" xfId="569"/>
    <cellStyle name="Обычный 2 2 63" xfId="570"/>
    <cellStyle name="Обычный 2 2 64" xfId="571"/>
    <cellStyle name="Обычный 2 2 65" xfId="572"/>
    <cellStyle name="Обычный 2 2 66" xfId="573"/>
    <cellStyle name="Обычный 2 2 67" xfId="574"/>
    <cellStyle name="Обычный 2 2 68" xfId="575"/>
    <cellStyle name="Обычный 2 2 69" xfId="576"/>
    <cellStyle name="Обычный 2 2 7" xfId="577"/>
    <cellStyle name="Обычный 2 2 70" xfId="578"/>
    <cellStyle name="Обычный 2 2 71" xfId="579"/>
    <cellStyle name="Обычный 2 2 72" xfId="580"/>
    <cellStyle name="Обычный 2 2 73" xfId="581"/>
    <cellStyle name="Обычный 2 2 74" xfId="582"/>
    <cellStyle name="Обычный 2 2 75" xfId="583"/>
    <cellStyle name="Обычный 2 2 76" xfId="584"/>
    <cellStyle name="Обычный 2 2 77" xfId="585"/>
    <cellStyle name="Обычный 2 2 78" xfId="586"/>
    <cellStyle name="Обычный 2 2 79" xfId="587"/>
    <cellStyle name="Обычный 2 2 8" xfId="588"/>
    <cellStyle name="Обычный 2 2 80" xfId="589"/>
    <cellStyle name="Обычный 2 2 9" xfId="590"/>
    <cellStyle name="Обычный 2 20" xfId="591"/>
    <cellStyle name="Обычный 2 21" xfId="592"/>
    <cellStyle name="Обычный 2 22" xfId="593"/>
    <cellStyle name="Обычный 2 23" xfId="594"/>
    <cellStyle name="Обычный 2 24" xfId="595"/>
    <cellStyle name="Обычный 2 25" xfId="596"/>
    <cellStyle name="Обычный 2 26" xfId="597"/>
    <cellStyle name="Обычный 2 27" xfId="598"/>
    <cellStyle name="Обычный 2 28" xfId="599"/>
    <cellStyle name="Обычный 2 29" xfId="600"/>
    <cellStyle name="Обычный 2 3" xfId="601"/>
    <cellStyle name="Обычный 2 30" xfId="602"/>
    <cellStyle name="Обычный 2 31" xfId="603"/>
    <cellStyle name="Обычный 2 32" xfId="604"/>
    <cellStyle name="Обычный 2 33" xfId="605"/>
    <cellStyle name="Обычный 2 34" xfId="606"/>
    <cellStyle name="Обычный 2 35" xfId="607"/>
    <cellStyle name="Обычный 2 36" xfId="608"/>
    <cellStyle name="Обычный 2 37" xfId="609"/>
    <cellStyle name="Обычный 2 38" xfId="610"/>
    <cellStyle name="Обычный 2 39" xfId="611"/>
    <cellStyle name="Обычный 2 4" xfId="612"/>
    <cellStyle name="Обычный 2 40" xfId="613"/>
    <cellStyle name="Обычный 2 41" xfId="614"/>
    <cellStyle name="Обычный 2 42" xfId="615"/>
    <cellStyle name="Обычный 2 43" xfId="616"/>
    <cellStyle name="Обычный 2 44" xfId="617"/>
    <cellStyle name="Обычный 2 45" xfId="618"/>
    <cellStyle name="Обычный 2 46" xfId="619"/>
    <cellStyle name="Обычный 2 47" xfId="620"/>
    <cellStyle name="Обычный 2 48" xfId="621"/>
    <cellStyle name="Обычный 2 49" xfId="622"/>
    <cellStyle name="Обычный 2 5" xfId="623"/>
    <cellStyle name="Обычный 2 50" xfId="624"/>
    <cellStyle name="Обычный 2 51" xfId="625"/>
    <cellStyle name="Обычный 2 52" xfId="626"/>
    <cellStyle name="Обычный 2 53" xfId="627"/>
    <cellStyle name="Обычный 2 54" xfId="628"/>
    <cellStyle name="Обычный 2 55" xfId="629"/>
    <cellStyle name="Обычный 2 56" xfId="630"/>
    <cellStyle name="Обычный 2 57" xfId="631"/>
    <cellStyle name="Обычный 2 58" xfId="632"/>
    <cellStyle name="Обычный 2 59" xfId="633"/>
    <cellStyle name="Обычный 2 6" xfId="634"/>
    <cellStyle name="Обычный 2 60" xfId="635"/>
    <cellStyle name="Обычный 2 61" xfId="636"/>
    <cellStyle name="Обычный 2 62" xfId="637"/>
    <cellStyle name="Обычный 2 63" xfId="638"/>
    <cellStyle name="Обычный 2 64" xfId="639"/>
    <cellStyle name="Обычный 2 65" xfId="640"/>
    <cellStyle name="Обычный 2 66" xfId="641"/>
    <cellStyle name="Обычный 2 67" xfId="642"/>
    <cellStyle name="Обычный 2 68" xfId="643"/>
    <cellStyle name="Обычный 2 69" xfId="644"/>
    <cellStyle name="Обычный 2 7" xfId="645"/>
    <cellStyle name="Обычный 2 7 2" xfId="646"/>
    <cellStyle name="Обычный 2 70" xfId="647"/>
    <cellStyle name="Обычный 2 71" xfId="648"/>
    <cellStyle name="Обычный 2 72" xfId="649"/>
    <cellStyle name="Обычный 2 73" xfId="650"/>
    <cellStyle name="Обычный 2 74" xfId="651"/>
    <cellStyle name="Обычный 2 75" xfId="652"/>
    <cellStyle name="Обычный 2 76" xfId="653"/>
    <cellStyle name="Обычный 2 77" xfId="654"/>
    <cellStyle name="Обычный 2 78" xfId="655"/>
    <cellStyle name="Обычный 2 79" xfId="656"/>
    <cellStyle name="Обычный 2 8" xfId="657"/>
    <cellStyle name="Обычный 2 80" xfId="658"/>
    <cellStyle name="Обычный 2 81" xfId="659"/>
    <cellStyle name="Обычный 2 82" xfId="660"/>
    <cellStyle name="Обычный 2 83" xfId="661"/>
    <cellStyle name="Обычный 2 84" xfId="662"/>
    <cellStyle name="Обычный 2 9" xfId="663"/>
    <cellStyle name="Обычный 20" xfId="664"/>
    <cellStyle name="Обычный 20 2" xfId="665"/>
    <cellStyle name="Обычный 20 3" xfId="666"/>
    <cellStyle name="Обычный 21" xfId="667"/>
    <cellStyle name="Обычный 21 2" xfId="668"/>
    <cellStyle name="Обычный 21 3" xfId="669"/>
    <cellStyle name="Обычный 22" xfId="670"/>
    <cellStyle name="Обычный 22 2" xfId="671"/>
    <cellStyle name="Обычный 22 3" xfId="672"/>
    <cellStyle name="Обычный 23" xfId="673"/>
    <cellStyle name="Обычный 23 2" xfId="674"/>
    <cellStyle name="Обычный 23 3" xfId="675"/>
    <cellStyle name="Обычный 24" xfId="676"/>
    <cellStyle name="Обычный 24 2" xfId="677"/>
    <cellStyle name="Обычный 24 3" xfId="678"/>
    <cellStyle name="Обычный 25" xfId="679"/>
    <cellStyle name="Обычный 25 2" xfId="680"/>
    <cellStyle name="Обычный 25 3" xfId="681"/>
    <cellStyle name="Обычный 26" xfId="682"/>
    <cellStyle name="Обычный 26 2" xfId="683"/>
    <cellStyle name="Обычный 26 3" xfId="684"/>
    <cellStyle name="Обычный 27" xfId="685"/>
    <cellStyle name="Обычный 27 2" xfId="686"/>
    <cellStyle name="Обычный 27 3" xfId="687"/>
    <cellStyle name="Обычный 28" xfId="688"/>
    <cellStyle name="Обычный 28 2" xfId="689"/>
    <cellStyle name="Обычный 28 3" xfId="690"/>
    <cellStyle name="Обычный 29" xfId="691"/>
    <cellStyle name="Обычный 29 2" xfId="692"/>
    <cellStyle name="Обычный 29 3" xfId="693"/>
    <cellStyle name="Обычный 3" xfId="694"/>
    <cellStyle name="Обычный 3 2" xfId="695"/>
    <cellStyle name="Обычный 3 3" xfId="696"/>
    <cellStyle name="Обычный 30" xfId="697"/>
    <cellStyle name="Обычный 30 2" xfId="698"/>
    <cellStyle name="Обычный 30 3" xfId="699"/>
    <cellStyle name="Обычный 31" xfId="700"/>
    <cellStyle name="Обычный 31 2" xfId="701"/>
    <cellStyle name="Обычный 31 3" xfId="702"/>
    <cellStyle name="Обычный 32" xfId="703"/>
    <cellStyle name="Обычный 32 2" xfId="704"/>
    <cellStyle name="Обычный 32 3" xfId="705"/>
    <cellStyle name="Обычный 33" xfId="706"/>
    <cellStyle name="Обычный 33 2" xfId="707"/>
    <cellStyle name="Обычный 33 3" xfId="708"/>
    <cellStyle name="Обычный 34" xfId="709"/>
    <cellStyle name="Обычный 34 2" xfId="710"/>
    <cellStyle name="Обычный 34 3" xfId="711"/>
    <cellStyle name="Обычный 35" xfId="712"/>
    <cellStyle name="Обычный 35 2" xfId="713"/>
    <cellStyle name="Обычный 35 3" xfId="714"/>
    <cellStyle name="Обычный 36" xfId="715"/>
    <cellStyle name="Обычный 36 2" xfId="716"/>
    <cellStyle name="Обычный 36 3" xfId="717"/>
    <cellStyle name="Обычный 37" xfId="718"/>
    <cellStyle name="Обычный 37 2" xfId="719"/>
    <cellStyle name="Обычный 37 3" xfId="720"/>
    <cellStyle name="Обычный 38" xfId="721"/>
    <cellStyle name="Обычный 38 2" xfId="722"/>
    <cellStyle name="Обычный 38 3" xfId="723"/>
    <cellStyle name="Обычный 39" xfId="724"/>
    <cellStyle name="Обычный 39 2" xfId="725"/>
    <cellStyle name="Обычный 4" xfId="726"/>
    <cellStyle name="Обычный 4 2" xfId="727"/>
    <cellStyle name="Обычный 4 3" xfId="728"/>
    <cellStyle name="Обычный 40" xfId="729"/>
    <cellStyle name="Обычный 40 2" xfId="730"/>
    <cellStyle name="Обычный 40 3" xfId="731"/>
    <cellStyle name="Обычный 41" xfId="732"/>
    <cellStyle name="Обычный 41 2" xfId="733"/>
    <cellStyle name="Обычный 41 3" xfId="734"/>
    <cellStyle name="Обычный 42" xfId="735"/>
    <cellStyle name="Обычный 42 2" xfId="736"/>
    <cellStyle name="Обычный 42 3" xfId="737"/>
    <cellStyle name="Обычный 43" xfId="738"/>
    <cellStyle name="Обычный 43 2" xfId="739"/>
    <cellStyle name="Обычный 43 3" xfId="740"/>
    <cellStyle name="Обычный 44" xfId="741"/>
    <cellStyle name="Обычный 44 2" xfId="742"/>
    <cellStyle name="Обычный 44 3" xfId="743"/>
    <cellStyle name="Обычный 45" xfId="744"/>
    <cellStyle name="Обычный 45 2" xfId="745"/>
    <cellStyle name="Обычный 45 3" xfId="746"/>
    <cellStyle name="Обычный 46" xfId="747"/>
    <cellStyle name="Обычный 46 2" xfId="748"/>
    <cellStyle name="Обычный 46 3" xfId="749"/>
    <cellStyle name="Обычный 47" xfId="750"/>
    <cellStyle name="Обычный 47 2" xfId="751"/>
    <cellStyle name="Обычный 47 3" xfId="752"/>
    <cellStyle name="Обычный 48" xfId="753"/>
    <cellStyle name="Обычный 48 2" xfId="754"/>
    <cellStyle name="Обычный 48 3" xfId="755"/>
    <cellStyle name="Обычный 49" xfId="756"/>
    <cellStyle name="Обычный 49 2" xfId="757"/>
    <cellStyle name="Обычный 49 3" xfId="758"/>
    <cellStyle name="Обычный 5" xfId="759"/>
    <cellStyle name="Обычный 5 2" xfId="760"/>
    <cellStyle name="Обычный 5 3" xfId="761"/>
    <cellStyle name="Обычный 50" xfId="762"/>
    <cellStyle name="Обычный 50 2" xfId="763"/>
    <cellStyle name="Обычный 50 3" xfId="764"/>
    <cellStyle name="Обычный 51" xfId="765"/>
    <cellStyle name="Обычный 51 2" xfId="766"/>
    <cellStyle name="Обычный 51 3" xfId="767"/>
    <cellStyle name="Обычный 52" xfId="768"/>
    <cellStyle name="Обычный 52 2" xfId="769"/>
    <cellStyle name="Обычный 52 3" xfId="770"/>
    <cellStyle name="Обычный 53" xfId="771"/>
    <cellStyle name="Обычный 53 2" xfId="772"/>
    <cellStyle name="Обычный 53 3" xfId="773"/>
    <cellStyle name="Обычный 54" xfId="774"/>
    <cellStyle name="Обычный 54 2" xfId="775"/>
    <cellStyle name="Обычный 54 3" xfId="776"/>
    <cellStyle name="Обычный 55" xfId="777"/>
    <cellStyle name="Обычный 55 2" xfId="778"/>
    <cellStyle name="Обычный 55 3" xfId="779"/>
    <cellStyle name="Обычный 56" xfId="780"/>
    <cellStyle name="Обычный 56 2" xfId="781"/>
    <cellStyle name="Обычный 56 3" xfId="782"/>
    <cellStyle name="Обычный 57" xfId="783"/>
    <cellStyle name="Обычный 57 2" xfId="784"/>
    <cellStyle name="Обычный 57 3" xfId="785"/>
    <cellStyle name="Обычный 58" xfId="786"/>
    <cellStyle name="Обычный 58 2" xfId="787"/>
    <cellStyle name="Обычный 58 3" xfId="788"/>
    <cellStyle name="Обычный 59" xfId="789"/>
    <cellStyle name="Обычный 59 2" xfId="790"/>
    <cellStyle name="Обычный 59 3" xfId="791"/>
    <cellStyle name="Обычный 6" xfId="792"/>
    <cellStyle name="Обычный 6 2" xfId="793"/>
    <cellStyle name="Обычный 6 3" xfId="794"/>
    <cellStyle name="Обычный 60" xfId="795"/>
    <cellStyle name="Обычный 60 2" xfId="796"/>
    <cellStyle name="Обычный 60 3" xfId="797"/>
    <cellStyle name="Обычный 61" xfId="798"/>
    <cellStyle name="Обычный 61 2" xfId="799"/>
    <cellStyle name="Обычный 61 3" xfId="800"/>
    <cellStyle name="Обычный 62" xfId="801"/>
    <cellStyle name="Обычный 62 2" xfId="802"/>
    <cellStyle name="Обычный 62 3" xfId="803"/>
    <cellStyle name="Обычный 63" xfId="804"/>
    <cellStyle name="Обычный 63 2" xfId="805"/>
    <cellStyle name="Обычный 64" xfId="806"/>
    <cellStyle name="Обычный 64 2" xfId="807"/>
    <cellStyle name="Обычный 64 3" xfId="808"/>
    <cellStyle name="Обычный 65" xfId="809"/>
    <cellStyle name="Обычный 65 2" xfId="810"/>
    <cellStyle name="Обычный 65 3" xfId="811"/>
    <cellStyle name="Обычный 66" xfId="812"/>
    <cellStyle name="Обычный 66 2" xfId="813"/>
    <cellStyle name="Обычный 66 3" xfId="814"/>
    <cellStyle name="Обычный 67" xfId="815"/>
    <cellStyle name="Обычный 67 2" xfId="816"/>
    <cellStyle name="Обычный 67 3" xfId="817"/>
    <cellStyle name="Обычный 68" xfId="818"/>
    <cellStyle name="Обычный 68 2" xfId="819"/>
    <cellStyle name="Обычный 68 3" xfId="820"/>
    <cellStyle name="Обычный 69" xfId="821"/>
    <cellStyle name="Обычный 69 2" xfId="822"/>
    <cellStyle name="Обычный 69 3" xfId="823"/>
    <cellStyle name="Обычный 7" xfId="824"/>
    <cellStyle name="Обычный 7 2" xfId="825"/>
    <cellStyle name="Обычный 7 3" xfId="826"/>
    <cellStyle name="Обычный 70" xfId="827"/>
    <cellStyle name="Обычный 70 2" xfId="828"/>
    <cellStyle name="Обычный 70 3" xfId="829"/>
    <cellStyle name="Обычный 71" xfId="830"/>
    <cellStyle name="Обычный 71 2" xfId="831"/>
    <cellStyle name="Обычный 71 3" xfId="832"/>
    <cellStyle name="Обычный 72" xfId="833"/>
    <cellStyle name="Обычный 72 2" xfId="834"/>
    <cellStyle name="Обычный 72 3" xfId="835"/>
    <cellStyle name="Обычный 73" xfId="836"/>
    <cellStyle name="Обычный 73 2" xfId="837"/>
    <cellStyle name="Обычный 73 3" xfId="838"/>
    <cellStyle name="Обычный 74" xfId="839"/>
    <cellStyle name="Обычный 74 2" xfId="840"/>
    <cellStyle name="Обычный 74 3" xfId="841"/>
    <cellStyle name="Обычный 75" xfId="842"/>
    <cellStyle name="Обычный 75 2" xfId="843"/>
    <cellStyle name="Обычный 75 3" xfId="844"/>
    <cellStyle name="Обычный 76" xfId="845"/>
    <cellStyle name="Обычный 76 2" xfId="846"/>
    <cellStyle name="Обычный 77" xfId="847"/>
    <cellStyle name="Обычный 78" xfId="848"/>
    <cellStyle name="Обычный 78 2" xfId="849"/>
    <cellStyle name="Обычный 78 3" xfId="850"/>
    <cellStyle name="Обычный 79" xfId="851"/>
    <cellStyle name="Обычный 79 2" xfId="852"/>
    <cellStyle name="Обычный 79 3" xfId="853"/>
    <cellStyle name="Обычный 8" xfId="854"/>
    <cellStyle name="Обычный 8 2" xfId="855"/>
    <cellStyle name="Обычный 8 3" xfId="856"/>
    <cellStyle name="Обычный 80" xfId="857"/>
    <cellStyle name="Обычный 81" xfId="858"/>
    <cellStyle name="Обычный 82" xfId="859"/>
    <cellStyle name="Обычный 83" xfId="860"/>
    <cellStyle name="Обычный 84" xfId="861"/>
    <cellStyle name="Обычный 85" xfId="862"/>
    <cellStyle name="Обычный 86" xfId="863"/>
    <cellStyle name="Обычный 87" xfId="864"/>
    <cellStyle name="Обычный 88" xfId="865"/>
    <cellStyle name="Обычный 89" xfId="866"/>
    <cellStyle name="Обычный 9" xfId="867"/>
    <cellStyle name="Обычный 9 2" xfId="868"/>
    <cellStyle name="Обычный 9 3" xfId="869"/>
    <cellStyle name="Обычный 90" xfId="870"/>
    <cellStyle name="Обычный 91" xfId="871"/>
    <cellStyle name="Обычный 92" xfId="872"/>
    <cellStyle name="Обычный 93" xfId="873"/>
    <cellStyle name="Обычный 94" xfId="874"/>
    <cellStyle name="Обычный 95" xfId="875"/>
    <cellStyle name="Обычный 96" xfId="876"/>
    <cellStyle name="Обычный 97" xfId="877"/>
    <cellStyle name="Обычный 98" xfId="878"/>
    <cellStyle name="Обычный 99" xfId="879"/>
    <cellStyle name="Обычный_Перечень моек по ПК" xfId="880"/>
    <cellStyle name="Followed Hyperlink" xfId="881"/>
    <cellStyle name="Плохой" xfId="882"/>
    <cellStyle name="Плохой 2" xfId="883"/>
    <cellStyle name="Плохой 2 2" xfId="884"/>
    <cellStyle name="Плохой 2 3" xfId="885"/>
    <cellStyle name="Плохой 2 4" xfId="886"/>
    <cellStyle name="Плохой 3" xfId="887"/>
    <cellStyle name="Плохой 4" xfId="888"/>
    <cellStyle name="Плохой 5" xfId="889"/>
    <cellStyle name="Плохой 6" xfId="890"/>
    <cellStyle name="Плохой 7" xfId="891"/>
    <cellStyle name="Плохой 8" xfId="892"/>
    <cellStyle name="Пояснение" xfId="893"/>
    <cellStyle name="Пояснение 2" xfId="894"/>
    <cellStyle name="Пояснение 2 2" xfId="895"/>
    <cellStyle name="Пояснение 2 3" xfId="896"/>
    <cellStyle name="Пояснение 2 4" xfId="897"/>
    <cellStyle name="Пояснение 3" xfId="898"/>
    <cellStyle name="Пояснение 4" xfId="899"/>
    <cellStyle name="Пояснение 5" xfId="900"/>
    <cellStyle name="Пояснение 6" xfId="901"/>
    <cellStyle name="Пояснение 7" xfId="902"/>
    <cellStyle name="Пояснение 8" xfId="903"/>
    <cellStyle name="Примечание" xfId="904"/>
    <cellStyle name="Примечание 2" xfId="905"/>
    <cellStyle name="Примечание 2 2" xfId="906"/>
    <cellStyle name="Примечание 2 3" xfId="907"/>
    <cellStyle name="Примечание 2 4" xfId="908"/>
    <cellStyle name="Примечание 3" xfId="909"/>
    <cellStyle name="Примечание 4" xfId="910"/>
    <cellStyle name="Примечание 5" xfId="911"/>
    <cellStyle name="Примечание 6" xfId="912"/>
    <cellStyle name="Примечание 7" xfId="913"/>
    <cellStyle name="Примечание 8" xfId="914"/>
    <cellStyle name="Percent" xfId="915"/>
    <cellStyle name="Связанная ячейка" xfId="916"/>
    <cellStyle name="Связанная ячейка 2" xfId="917"/>
    <cellStyle name="Связанная ячейка 2 2" xfId="918"/>
    <cellStyle name="Связанная ячейка 2 3" xfId="919"/>
    <cellStyle name="Связанная ячейка 2 4" xfId="920"/>
    <cellStyle name="Связанная ячейка 3" xfId="921"/>
    <cellStyle name="Связанная ячейка 4" xfId="922"/>
    <cellStyle name="Связанная ячейка 5" xfId="923"/>
    <cellStyle name="Связанная ячейка 6" xfId="924"/>
    <cellStyle name="Связанная ячейка 7" xfId="925"/>
    <cellStyle name="Связанная ячейка 8" xfId="926"/>
    <cellStyle name="Стиль 1" xfId="927"/>
    <cellStyle name="Стиль 1 2" xfId="928"/>
    <cellStyle name="Стиль 1 3" xfId="929"/>
    <cellStyle name="Текст предупреждения" xfId="930"/>
    <cellStyle name="Текст предупреждения 2" xfId="931"/>
    <cellStyle name="Текст предупреждения 2 2" xfId="932"/>
    <cellStyle name="Текст предупреждения 2 3" xfId="933"/>
    <cellStyle name="Текст предупреждения 2 4" xfId="934"/>
    <cellStyle name="Текст предупреждения 3" xfId="935"/>
    <cellStyle name="Текст предупреждения 4" xfId="936"/>
    <cellStyle name="Текст предупреждения 5" xfId="937"/>
    <cellStyle name="Текст предупреждения 6" xfId="938"/>
    <cellStyle name="Текст предупреждения 7" xfId="939"/>
    <cellStyle name="Текст предупреждения 8" xfId="940"/>
    <cellStyle name="Comma" xfId="941"/>
    <cellStyle name="Comma [0]" xfId="942"/>
    <cellStyle name="Хороший" xfId="943"/>
    <cellStyle name="Хороший 2" xfId="944"/>
    <cellStyle name="Хороший 2 2" xfId="945"/>
    <cellStyle name="Хороший 2 3" xfId="946"/>
    <cellStyle name="Хороший 2 4" xfId="947"/>
    <cellStyle name="Хороший 3" xfId="948"/>
    <cellStyle name="Хороший 4" xfId="949"/>
    <cellStyle name="Хороший 5" xfId="950"/>
    <cellStyle name="Хороший 6" xfId="951"/>
    <cellStyle name="Хороший 7" xfId="952"/>
    <cellStyle name="Хороший 8" xfId="9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5"/>
  <sheetViews>
    <sheetView tabSelected="1" zoomScalePageLayoutView="0" workbookViewId="0" topLeftCell="B1">
      <pane ySplit="7" topLeftCell="A8" activePane="bottomLeft" state="frozen"/>
      <selection pane="topLeft" activeCell="A1" sqref="A1"/>
      <selection pane="bottomLeft" activeCell="F19" sqref="F19"/>
    </sheetView>
  </sheetViews>
  <sheetFormatPr defaultColWidth="9.140625" defaultRowHeight="12.75"/>
  <cols>
    <col min="1" max="1" width="3.8515625" style="29" customWidth="1"/>
    <col min="2" max="2" width="6.140625" style="24" customWidth="1"/>
    <col min="3" max="3" width="9.421875" style="138" customWidth="1"/>
    <col min="4" max="4" width="14.00390625" style="138" customWidth="1"/>
    <col min="5" max="5" width="7.57421875" style="24" customWidth="1"/>
    <col min="6" max="6" width="52.7109375" style="120" customWidth="1"/>
    <col min="7" max="12" width="3.421875" style="3" customWidth="1"/>
    <col min="13" max="13" width="3.57421875" style="3" bestFit="1" customWidth="1"/>
    <col min="14" max="14" width="6.421875" style="33" customWidth="1"/>
    <col min="15" max="15" width="9.140625" style="1" customWidth="1"/>
    <col min="16" max="16" width="12.00390625" style="1" bestFit="1" customWidth="1"/>
    <col min="17" max="17" width="35.57421875" style="2" customWidth="1"/>
    <col min="18" max="16384" width="9.140625" style="3" customWidth="1"/>
  </cols>
  <sheetData>
    <row r="1" spans="1:17" ht="10.5" customHeight="1">
      <c r="A1" s="28">
        <v>40386</v>
      </c>
      <c r="B1" s="245" t="s">
        <v>708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34"/>
      <c r="Q1" s="176">
        <v>41639</v>
      </c>
    </row>
    <row r="2" spans="2:14" ht="10.5" customHeight="1"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34"/>
    </row>
    <row r="3" spans="3:14" ht="11.25" customHeight="1" hidden="1">
      <c r="C3" s="138">
        <v>42</v>
      </c>
      <c r="N3" s="35"/>
    </row>
    <row r="4" spans="2:14" ht="11.25" customHeight="1">
      <c r="B4" s="246" t="s">
        <v>408</v>
      </c>
      <c r="C4" s="246"/>
      <c r="D4" s="246"/>
      <c r="E4" s="246"/>
      <c r="F4" s="246"/>
      <c r="G4" s="248">
        <f>D9+D30+D61+D87+D125+D135+D157+D178+D196+D220+D228+D288+D307+D321+D343+D357+D373+D402</f>
        <v>380</v>
      </c>
      <c r="H4" s="248"/>
      <c r="I4" s="248"/>
      <c r="J4" s="248"/>
      <c r="K4" s="248"/>
      <c r="L4" s="248"/>
      <c r="M4" s="248"/>
      <c r="N4" s="119"/>
    </row>
    <row r="5" spans="2:17" ht="11.25" customHeight="1" thickBot="1">
      <c r="B5" s="247"/>
      <c r="C5" s="247"/>
      <c r="D5" s="247"/>
      <c r="E5" s="247"/>
      <c r="F5" s="247"/>
      <c r="G5" s="249"/>
      <c r="H5" s="249"/>
      <c r="I5" s="249"/>
      <c r="J5" s="249"/>
      <c r="K5" s="249"/>
      <c r="L5" s="249"/>
      <c r="M5" s="249"/>
      <c r="N5" s="36"/>
      <c r="O5" s="181"/>
      <c r="P5" s="181"/>
      <c r="Q5" s="179"/>
    </row>
    <row r="6" spans="1:17" s="4" customFormat="1" ht="6" customHeight="1" hidden="1" thickBot="1" thickTop="1">
      <c r="A6" s="30"/>
      <c r="B6" s="104"/>
      <c r="C6" s="139"/>
      <c r="D6" s="139"/>
      <c r="E6" s="5"/>
      <c r="F6" s="121"/>
      <c r="G6" s="6"/>
      <c r="H6" s="7"/>
      <c r="I6" s="5"/>
      <c r="J6" s="5"/>
      <c r="K6" s="5"/>
      <c r="L6" s="5"/>
      <c r="M6" s="105"/>
      <c r="N6" s="37"/>
      <c r="O6" s="184"/>
      <c r="P6" s="184"/>
      <c r="Q6" s="183"/>
    </row>
    <row r="7" spans="1:17" s="8" customFormat="1" ht="83.25" customHeight="1" thickBot="1">
      <c r="A7" s="31"/>
      <c r="B7" s="12" t="s">
        <v>470</v>
      </c>
      <c r="C7" s="9" t="s">
        <v>139</v>
      </c>
      <c r="D7" s="171" t="s">
        <v>106</v>
      </c>
      <c r="E7" s="11" t="s">
        <v>314</v>
      </c>
      <c r="F7" s="172" t="s">
        <v>315</v>
      </c>
      <c r="G7" s="9" t="s">
        <v>316</v>
      </c>
      <c r="H7" s="10" t="s">
        <v>58</v>
      </c>
      <c r="I7" s="10" t="s">
        <v>59</v>
      </c>
      <c r="J7" s="10" t="s">
        <v>60</v>
      </c>
      <c r="K7" s="10" t="s">
        <v>61</v>
      </c>
      <c r="L7" s="10" t="s">
        <v>62</v>
      </c>
      <c r="M7" s="10" t="s">
        <v>63</v>
      </c>
      <c r="N7" s="177"/>
      <c r="O7" s="185"/>
      <c r="P7" s="185"/>
      <c r="Q7" s="186"/>
    </row>
    <row r="8" spans="1:17" s="4" customFormat="1" ht="15" customHeight="1" thickTop="1">
      <c r="A8" s="30"/>
      <c r="B8" s="106"/>
      <c r="C8" s="140" t="s">
        <v>306</v>
      </c>
      <c r="D8" s="140"/>
      <c r="E8" s="68"/>
      <c r="F8" s="131">
        <f>1!E7</f>
        <v>198</v>
      </c>
      <c r="G8" s="69" t="s">
        <v>307</v>
      </c>
      <c r="H8" s="70"/>
      <c r="I8" s="67"/>
      <c r="J8" s="71"/>
      <c r="K8" s="71"/>
      <c r="L8" s="71"/>
      <c r="M8" s="107"/>
      <c r="N8" s="38"/>
      <c r="O8" s="178"/>
      <c r="P8" s="178"/>
      <c r="Q8" s="179"/>
    </row>
    <row r="9" spans="2:17" ht="17.25" customHeight="1">
      <c r="B9" s="108"/>
      <c r="C9" s="147" t="s">
        <v>309</v>
      </c>
      <c r="D9" s="141">
        <f>1!E8</f>
        <v>19</v>
      </c>
      <c r="E9" s="72" t="s">
        <v>310</v>
      </c>
      <c r="F9" s="132" t="s">
        <v>311</v>
      </c>
      <c r="G9" s="74"/>
      <c r="H9" s="75"/>
      <c r="I9" s="73"/>
      <c r="J9" s="73"/>
      <c r="K9" s="73"/>
      <c r="L9" s="73"/>
      <c r="M9" s="109"/>
      <c r="N9" s="39"/>
      <c r="O9" s="187"/>
      <c r="P9" s="187"/>
      <c r="Q9" s="188"/>
    </row>
    <row r="10" spans="2:17" ht="12.75" customHeight="1">
      <c r="B10" s="201">
        <v>1.7</v>
      </c>
      <c r="C10" s="202">
        <v>115</v>
      </c>
      <c r="D10" s="201" t="s">
        <v>365</v>
      </c>
      <c r="E10" s="201" t="s">
        <v>310</v>
      </c>
      <c r="F10" s="122" t="s">
        <v>312</v>
      </c>
      <c r="G10" s="77"/>
      <c r="H10" s="77"/>
      <c r="I10" s="77" t="s">
        <v>313</v>
      </c>
      <c r="J10" s="77" t="s">
        <v>313</v>
      </c>
      <c r="K10" s="77"/>
      <c r="L10" s="77"/>
      <c r="M10" s="77"/>
      <c r="N10" s="40"/>
      <c r="O10" s="187"/>
      <c r="P10" s="187"/>
      <c r="Q10" s="182"/>
    </row>
    <row r="11" spans="2:17" ht="14.25" customHeight="1">
      <c r="B11" s="201">
        <v>1.7</v>
      </c>
      <c r="C11" s="202">
        <v>103</v>
      </c>
      <c r="D11" s="201" t="s">
        <v>365</v>
      </c>
      <c r="E11" s="203" t="s">
        <v>310</v>
      </c>
      <c r="F11" s="122" t="s">
        <v>276</v>
      </c>
      <c r="G11" s="77" t="s">
        <v>313</v>
      </c>
      <c r="H11" s="77" t="s">
        <v>313</v>
      </c>
      <c r="I11" s="77" t="s">
        <v>313</v>
      </c>
      <c r="J11" s="77" t="s">
        <v>313</v>
      </c>
      <c r="K11" s="77"/>
      <c r="L11" s="77"/>
      <c r="M11" s="77"/>
      <c r="N11" s="40"/>
      <c r="O11" s="187"/>
      <c r="P11" s="187"/>
      <c r="Q11" s="183"/>
    </row>
    <row r="12" spans="2:17" ht="14.25" customHeight="1">
      <c r="B12" s="201">
        <v>1.7</v>
      </c>
      <c r="C12" s="202">
        <v>156</v>
      </c>
      <c r="D12" s="201" t="s">
        <v>365</v>
      </c>
      <c r="E12" s="201" t="s">
        <v>310</v>
      </c>
      <c r="F12" s="122" t="s">
        <v>304</v>
      </c>
      <c r="G12" s="77"/>
      <c r="H12" s="77"/>
      <c r="I12" s="77"/>
      <c r="J12" s="77" t="s">
        <v>313</v>
      </c>
      <c r="K12" s="77"/>
      <c r="L12" s="77"/>
      <c r="M12" s="77"/>
      <c r="N12" s="40"/>
      <c r="O12" s="189"/>
      <c r="P12" s="187"/>
      <c r="Q12" s="190"/>
    </row>
    <row r="13" spans="2:17" ht="14.25" customHeight="1">
      <c r="B13" s="201">
        <v>1.15</v>
      </c>
      <c r="C13" s="202">
        <v>2</v>
      </c>
      <c r="D13" s="201" t="s">
        <v>277</v>
      </c>
      <c r="E13" s="203" t="s">
        <v>310</v>
      </c>
      <c r="F13" s="122" t="s">
        <v>278</v>
      </c>
      <c r="G13" s="77"/>
      <c r="H13" s="77"/>
      <c r="I13" s="77" t="s">
        <v>313</v>
      </c>
      <c r="J13" s="77" t="s">
        <v>313</v>
      </c>
      <c r="K13" s="77"/>
      <c r="L13" s="77"/>
      <c r="M13" s="77"/>
      <c r="N13" s="40"/>
      <c r="O13" s="187"/>
      <c r="P13" s="187"/>
      <c r="Q13" s="191"/>
    </row>
    <row r="14" spans="2:17" ht="14.25" customHeight="1">
      <c r="B14" s="201">
        <v>1.15</v>
      </c>
      <c r="C14" s="202">
        <v>6</v>
      </c>
      <c r="D14" s="201" t="s">
        <v>397</v>
      </c>
      <c r="E14" s="201" t="s">
        <v>310</v>
      </c>
      <c r="F14" s="122" t="s">
        <v>280</v>
      </c>
      <c r="G14" s="77"/>
      <c r="H14" s="77"/>
      <c r="I14" s="77" t="s">
        <v>313</v>
      </c>
      <c r="J14" s="77" t="s">
        <v>313</v>
      </c>
      <c r="K14" s="77"/>
      <c r="L14" s="77"/>
      <c r="M14" s="77"/>
      <c r="N14" s="40"/>
      <c r="O14" s="187"/>
      <c r="P14" s="187"/>
      <c r="Q14" s="191"/>
    </row>
    <row r="15" spans="2:17" ht="14.25" customHeight="1">
      <c r="B15" s="201">
        <v>1.15</v>
      </c>
      <c r="C15" s="202">
        <v>3</v>
      </c>
      <c r="D15" s="201" t="s">
        <v>277</v>
      </c>
      <c r="E15" s="201" t="s">
        <v>310</v>
      </c>
      <c r="F15" s="122" t="s">
        <v>302</v>
      </c>
      <c r="G15" s="77"/>
      <c r="H15" s="77"/>
      <c r="I15" s="77" t="s">
        <v>313</v>
      </c>
      <c r="J15" s="77" t="s">
        <v>313</v>
      </c>
      <c r="K15" s="77"/>
      <c r="L15" s="77"/>
      <c r="M15" s="77"/>
      <c r="N15" s="40"/>
      <c r="O15" s="187"/>
      <c r="P15" s="187"/>
      <c r="Q15" s="191"/>
    </row>
    <row r="16" spans="2:17" ht="14.25" customHeight="1">
      <c r="B16" s="201">
        <v>1.15</v>
      </c>
      <c r="C16" s="202">
        <v>26</v>
      </c>
      <c r="D16" s="201" t="s">
        <v>397</v>
      </c>
      <c r="E16" s="201" t="s">
        <v>310</v>
      </c>
      <c r="F16" s="122" t="s">
        <v>303</v>
      </c>
      <c r="G16" s="77" t="s">
        <v>313</v>
      </c>
      <c r="H16" s="77"/>
      <c r="I16" s="77" t="s">
        <v>313</v>
      </c>
      <c r="J16" s="77" t="s">
        <v>313</v>
      </c>
      <c r="K16" s="77"/>
      <c r="L16" s="77"/>
      <c r="M16" s="77"/>
      <c r="N16" s="40"/>
      <c r="O16" s="187"/>
      <c r="P16" s="187"/>
      <c r="Q16" s="191"/>
    </row>
    <row r="17" spans="2:17" ht="14.25" customHeight="1">
      <c r="B17" s="201">
        <v>1.15</v>
      </c>
      <c r="C17" s="202">
        <v>10</v>
      </c>
      <c r="D17" s="201" t="s">
        <v>277</v>
      </c>
      <c r="E17" s="201" t="s">
        <v>310</v>
      </c>
      <c r="F17" s="122" t="s">
        <v>419</v>
      </c>
      <c r="G17" s="77"/>
      <c r="H17" s="77"/>
      <c r="I17" s="77" t="s">
        <v>313</v>
      </c>
      <c r="J17" s="77" t="s">
        <v>313</v>
      </c>
      <c r="K17" s="77"/>
      <c r="L17" s="77"/>
      <c r="M17" s="77"/>
      <c r="N17" s="40"/>
      <c r="O17" s="187"/>
      <c r="P17" s="187"/>
      <c r="Q17" s="191"/>
    </row>
    <row r="18" spans="2:17" ht="14.25" customHeight="1">
      <c r="B18" s="201">
        <v>1.15</v>
      </c>
      <c r="C18" s="202">
        <v>1</v>
      </c>
      <c r="D18" s="201" t="s">
        <v>277</v>
      </c>
      <c r="E18" s="201" t="s">
        <v>310</v>
      </c>
      <c r="F18" s="122" t="s">
        <v>421</v>
      </c>
      <c r="G18" s="77"/>
      <c r="H18" s="77"/>
      <c r="I18" s="77" t="s">
        <v>313</v>
      </c>
      <c r="J18" s="77" t="s">
        <v>313</v>
      </c>
      <c r="K18" s="77"/>
      <c r="L18" s="77"/>
      <c r="M18" s="77"/>
      <c r="N18" s="33" t="s">
        <v>44</v>
      </c>
      <c r="O18" s="187"/>
      <c r="P18" s="187"/>
      <c r="Q18" s="183"/>
    </row>
    <row r="19" spans="2:17" ht="14.25" customHeight="1">
      <c r="B19" s="201">
        <v>1.15</v>
      </c>
      <c r="C19" s="202">
        <v>11</v>
      </c>
      <c r="D19" s="201" t="s">
        <v>277</v>
      </c>
      <c r="E19" s="201" t="s">
        <v>310</v>
      </c>
      <c r="F19" s="122" t="s">
        <v>422</v>
      </c>
      <c r="G19" s="77"/>
      <c r="H19" s="77"/>
      <c r="I19" s="77" t="s">
        <v>313</v>
      </c>
      <c r="J19" s="77" t="s">
        <v>313</v>
      </c>
      <c r="K19" s="77"/>
      <c r="L19" s="77"/>
      <c r="M19" s="77"/>
      <c r="N19" s="40"/>
      <c r="O19" s="187"/>
      <c r="P19" s="187"/>
      <c r="Q19" s="180"/>
    </row>
    <row r="20" spans="2:17" ht="14.25" customHeight="1">
      <c r="B20" s="201">
        <v>1.7</v>
      </c>
      <c r="C20" s="202">
        <v>9</v>
      </c>
      <c r="D20" s="201" t="s">
        <v>365</v>
      </c>
      <c r="E20" s="203" t="s">
        <v>310</v>
      </c>
      <c r="F20" s="122" t="s">
        <v>279</v>
      </c>
      <c r="G20" s="77" t="s">
        <v>313</v>
      </c>
      <c r="H20" s="77"/>
      <c r="I20" s="77" t="s">
        <v>313</v>
      </c>
      <c r="J20" s="77" t="s">
        <v>313</v>
      </c>
      <c r="K20" s="77"/>
      <c r="L20" s="77"/>
      <c r="M20" s="77"/>
      <c r="N20" s="40"/>
      <c r="O20" s="178"/>
      <c r="P20" s="187"/>
      <c r="Q20" s="183"/>
    </row>
    <row r="21" spans="2:17" ht="14.25" customHeight="1">
      <c r="B21" s="201">
        <v>1.7</v>
      </c>
      <c r="C21" s="202">
        <v>20</v>
      </c>
      <c r="D21" s="201" t="s">
        <v>365</v>
      </c>
      <c r="E21" s="201" t="s">
        <v>310</v>
      </c>
      <c r="F21" s="122" t="s">
        <v>219</v>
      </c>
      <c r="G21" s="77" t="s">
        <v>313</v>
      </c>
      <c r="H21" s="77"/>
      <c r="I21" s="77" t="s">
        <v>313</v>
      </c>
      <c r="J21" s="77" t="s">
        <v>313</v>
      </c>
      <c r="K21" s="77"/>
      <c r="L21" s="77"/>
      <c r="M21" s="77"/>
      <c r="N21" s="40"/>
      <c r="O21" s="178"/>
      <c r="P21" s="187"/>
      <c r="Q21" s="183"/>
    </row>
    <row r="22" spans="2:17" ht="14.25" customHeight="1">
      <c r="B22" s="201">
        <v>1.7</v>
      </c>
      <c r="C22" s="202">
        <v>49</v>
      </c>
      <c r="D22" s="201" t="s">
        <v>365</v>
      </c>
      <c r="E22" s="203" t="s">
        <v>310</v>
      </c>
      <c r="F22" s="122" t="s">
        <v>417</v>
      </c>
      <c r="G22" s="77"/>
      <c r="H22" s="77"/>
      <c r="I22" s="77" t="s">
        <v>313</v>
      </c>
      <c r="J22" s="77" t="s">
        <v>313</v>
      </c>
      <c r="K22" s="77"/>
      <c r="L22" s="77"/>
      <c r="M22" s="77"/>
      <c r="N22" s="40"/>
      <c r="O22" s="178"/>
      <c r="P22" s="187"/>
      <c r="Q22" s="183"/>
    </row>
    <row r="23" spans="2:17" ht="14.25" customHeight="1">
      <c r="B23" s="201">
        <v>1.31</v>
      </c>
      <c r="C23" s="202" t="s">
        <v>501</v>
      </c>
      <c r="D23" s="201" t="s">
        <v>217</v>
      </c>
      <c r="E23" s="203" t="s">
        <v>310</v>
      </c>
      <c r="F23" s="122" t="s">
        <v>218</v>
      </c>
      <c r="G23" s="77"/>
      <c r="H23" s="77"/>
      <c r="I23" s="77" t="s">
        <v>313</v>
      </c>
      <c r="J23" s="77" t="s">
        <v>313</v>
      </c>
      <c r="K23" s="77"/>
      <c r="L23" s="77"/>
      <c r="M23" s="110"/>
      <c r="N23" s="40"/>
      <c r="O23" s="178"/>
      <c r="P23" s="187"/>
      <c r="Q23" s="191"/>
    </row>
    <row r="24" spans="2:17" ht="14.25" customHeight="1">
      <c r="B24" s="201">
        <v>1.31</v>
      </c>
      <c r="C24" s="202" t="s">
        <v>487</v>
      </c>
      <c r="D24" s="201" t="s">
        <v>217</v>
      </c>
      <c r="E24" s="203" t="s">
        <v>310</v>
      </c>
      <c r="F24" s="122" t="s">
        <v>300</v>
      </c>
      <c r="G24" s="77" t="s">
        <v>313</v>
      </c>
      <c r="H24" s="77"/>
      <c r="I24" s="77" t="s">
        <v>313</v>
      </c>
      <c r="J24" s="77" t="s">
        <v>313</v>
      </c>
      <c r="K24" s="77"/>
      <c r="L24" s="77"/>
      <c r="M24" s="110"/>
      <c r="N24" s="40"/>
      <c r="O24" s="178"/>
      <c r="P24" s="187"/>
      <c r="Q24" s="191"/>
    </row>
    <row r="25" spans="2:17" ht="14.25" customHeight="1">
      <c r="B25" s="201">
        <v>1.31</v>
      </c>
      <c r="C25" s="202" t="s">
        <v>480</v>
      </c>
      <c r="D25" s="201" t="s">
        <v>217</v>
      </c>
      <c r="E25" s="203" t="s">
        <v>310</v>
      </c>
      <c r="F25" s="122" t="s">
        <v>301</v>
      </c>
      <c r="G25" s="77" t="s">
        <v>313</v>
      </c>
      <c r="H25" s="77"/>
      <c r="I25" s="77" t="s">
        <v>313</v>
      </c>
      <c r="J25" s="77" t="s">
        <v>313</v>
      </c>
      <c r="K25" s="77" t="s">
        <v>313</v>
      </c>
      <c r="L25" s="77"/>
      <c r="M25" s="110"/>
      <c r="N25" s="40"/>
      <c r="O25" s="178"/>
      <c r="P25" s="187"/>
      <c r="Q25" s="191"/>
    </row>
    <row r="26" spans="2:17" ht="14.25" customHeight="1">
      <c r="B26" s="201">
        <v>1.31</v>
      </c>
      <c r="C26" s="202" t="s">
        <v>500</v>
      </c>
      <c r="D26" s="201" t="s">
        <v>217</v>
      </c>
      <c r="E26" s="203" t="s">
        <v>310</v>
      </c>
      <c r="F26" s="122" t="s">
        <v>383</v>
      </c>
      <c r="G26" s="77" t="s">
        <v>313</v>
      </c>
      <c r="H26" s="77"/>
      <c r="I26" s="77" t="s">
        <v>313</v>
      </c>
      <c r="J26" s="77" t="s">
        <v>313</v>
      </c>
      <c r="K26" s="77"/>
      <c r="L26" s="77"/>
      <c r="M26" s="77"/>
      <c r="N26" s="40"/>
      <c r="O26" s="181"/>
      <c r="P26" s="181"/>
      <c r="Q26" s="179"/>
    </row>
    <row r="27" spans="2:17" ht="14.25" customHeight="1">
      <c r="B27" s="201">
        <v>1.31</v>
      </c>
      <c r="C27" s="202" t="s">
        <v>481</v>
      </c>
      <c r="D27" s="201" t="s">
        <v>217</v>
      </c>
      <c r="E27" s="201" t="s">
        <v>310</v>
      </c>
      <c r="F27" s="122" t="s">
        <v>416</v>
      </c>
      <c r="G27" s="77" t="s">
        <v>313</v>
      </c>
      <c r="H27" s="77"/>
      <c r="I27" s="77" t="s">
        <v>313</v>
      </c>
      <c r="J27" s="77" t="s">
        <v>313</v>
      </c>
      <c r="K27" s="77"/>
      <c r="L27" s="77"/>
      <c r="M27" s="77"/>
      <c r="N27" s="40"/>
      <c r="O27" s="181"/>
      <c r="P27" s="181"/>
      <c r="Q27" s="179"/>
    </row>
    <row r="28" spans="2:17" ht="14.25" customHeight="1">
      <c r="B28" s="201">
        <v>1.31</v>
      </c>
      <c r="C28" s="202" t="s">
        <v>499</v>
      </c>
      <c r="D28" s="201" t="s">
        <v>217</v>
      </c>
      <c r="E28" s="201" t="s">
        <v>310</v>
      </c>
      <c r="F28" s="122" t="s">
        <v>420</v>
      </c>
      <c r="G28" s="77"/>
      <c r="H28" s="77"/>
      <c r="I28" s="77" t="s">
        <v>313</v>
      </c>
      <c r="J28" s="77" t="s">
        <v>313</v>
      </c>
      <c r="K28" s="77"/>
      <c r="L28" s="77"/>
      <c r="M28" s="77"/>
      <c r="N28" s="40"/>
      <c r="O28" s="181"/>
      <c r="P28" s="181"/>
      <c r="Q28" s="179"/>
    </row>
    <row r="29" spans="1:17" s="14" customFormat="1" ht="0" customHeight="1" hidden="1">
      <c r="A29" s="26"/>
      <c r="B29" s="204"/>
      <c r="C29" s="205"/>
      <c r="D29" s="206"/>
      <c r="E29" s="205"/>
      <c r="F29" s="123"/>
      <c r="G29" s="79"/>
      <c r="H29" s="79"/>
      <c r="I29" s="79"/>
      <c r="J29" s="80"/>
      <c r="K29" s="79"/>
      <c r="L29" s="79"/>
      <c r="M29" s="111"/>
      <c r="N29" s="41"/>
      <c r="O29" s="27"/>
      <c r="P29" s="27"/>
      <c r="Q29" s="179"/>
    </row>
    <row r="30" spans="1:17" ht="15" customHeight="1">
      <c r="A30" s="33"/>
      <c r="B30" s="207"/>
      <c r="C30" s="233" t="s">
        <v>309</v>
      </c>
      <c r="D30" s="234">
        <f>1!E9</f>
        <v>29</v>
      </c>
      <c r="E30" s="208" t="s">
        <v>322</v>
      </c>
      <c r="F30" s="133" t="s">
        <v>323</v>
      </c>
      <c r="G30" s="74"/>
      <c r="H30" s="75"/>
      <c r="I30" s="73"/>
      <c r="J30" s="73"/>
      <c r="K30" s="73"/>
      <c r="L30" s="81"/>
      <c r="M30" s="112"/>
      <c r="N30" s="41"/>
      <c r="O30" s="181"/>
      <c r="P30" s="181"/>
      <c r="Q30" s="179"/>
    </row>
    <row r="31" spans="1:17" ht="14.25" customHeight="1">
      <c r="A31" s="29">
        <f aca="true" t="shared" si="0" ref="A31:A54">B31</f>
        <v>1.7</v>
      </c>
      <c r="B31" s="201">
        <v>1.7</v>
      </c>
      <c r="C31" s="202">
        <v>136</v>
      </c>
      <c r="D31" s="201" t="s">
        <v>365</v>
      </c>
      <c r="E31" s="201" t="s">
        <v>322</v>
      </c>
      <c r="F31" s="122" t="s">
        <v>325</v>
      </c>
      <c r="G31" s="77" t="s">
        <v>313</v>
      </c>
      <c r="H31" s="77"/>
      <c r="I31" s="77" t="s">
        <v>313</v>
      </c>
      <c r="J31" s="77" t="s">
        <v>313</v>
      </c>
      <c r="K31" s="77"/>
      <c r="L31" s="77"/>
      <c r="M31" s="77"/>
      <c r="N31" s="40"/>
      <c r="O31" s="181"/>
      <c r="P31" s="181"/>
      <c r="Q31" s="179"/>
    </row>
    <row r="32" spans="1:17" ht="14.25" customHeight="1">
      <c r="A32" s="29">
        <f t="shared" si="0"/>
        <v>1.7</v>
      </c>
      <c r="B32" s="201">
        <v>1.7</v>
      </c>
      <c r="C32" s="202">
        <v>102</v>
      </c>
      <c r="D32" s="201" t="s">
        <v>365</v>
      </c>
      <c r="E32" s="201" t="s">
        <v>322</v>
      </c>
      <c r="F32" s="122" t="s">
        <v>105</v>
      </c>
      <c r="G32" s="77" t="s">
        <v>313</v>
      </c>
      <c r="H32" s="77"/>
      <c r="I32" s="77" t="s">
        <v>313</v>
      </c>
      <c r="J32" s="77" t="s">
        <v>313</v>
      </c>
      <c r="K32" s="77"/>
      <c r="L32" s="77"/>
      <c r="M32" s="77"/>
      <c r="N32" s="40"/>
      <c r="O32" s="181"/>
      <c r="P32" s="181"/>
      <c r="Q32" s="179"/>
    </row>
    <row r="33" spans="1:17" ht="14.25" customHeight="1">
      <c r="A33" s="29">
        <f t="shared" si="0"/>
        <v>1.7</v>
      </c>
      <c r="B33" s="211">
        <v>1.7</v>
      </c>
      <c r="C33" s="212">
        <v>135</v>
      </c>
      <c r="D33" s="211" t="s">
        <v>365</v>
      </c>
      <c r="E33" s="211" t="s">
        <v>322</v>
      </c>
      <c r="F33" s="199" t="s">
        <v>339</v>
      </c>
      <c r="G33" s="77" t="s">
        <v>313</v>
      </c>
      <c r="H33" s="77"/>
      <c r="I33" s="77" t="s">
        <v>313</v>
      </c>
      <c r="J33" s="77" t="s">
        <v>313</v>
      </c>
      <c r="K33" s="77"/>
      <c r="L33" s="77"/>
      <c r="M33" s="77"/>
      <c r="N33" s="40"/>
      <c r="O33" s="181"/>
      <c r="P33" s="181"/>
      <c r="Q33" s="179"/>
    </row>
    <row r="34" spans="1:17" ht="14.25" customHeight="1">
      <c r="A34" s="29">
        <f t="shared" si="0"/>
        <v>1.7</v>
      </c>
      <c r="B34" s="201">
        <v>1.7</v>
      </c>
      <c r="C34" s="202">
        <v>143</v>
      </c>
      <c r="D34" s="201" t="s">
        <v>365</v>
      </c>
      <c r="E34" s="201" t="s">
        <v>322</v>
      </c>
      <c r="F34" s="122" t="s">
        <v>90</v>
      </c>
      <c r="G34" s="77" t="s">
        <v>313</v>
      </c>
      <c r="H34" s="77"/>
      <c r="I34" s="77" t="s">
        <v>313</v>
      </c>
      <c r="J34" s="77" t="s">
        <v>313</v>
      </c>
      <c r="K34" s="77"/>
      <c r="L34" s="77"/>
      <c r="M34" s="77"/>
      <c r="N34" s="40"/>
      <c r="O34" s="181"/>
      <c r="P34" s="181"/>
      <c r="Q34" s="179"/>
    </row>
    <row r="35" spans="2:17" s="148" customFormat="1" ht="14.25" customHeight="1">
      <c r="B35" s="211">
        <v>1.7</v>
      </c>
      <c r="C35" s="212">
        <v>93</v>
      </c>
      <c r="D35" s="211" t="s">
        <v>365</v>
      </c>
      <c r="E35" s="211" t="s">
        <v>322</v>
      </c>
      <c r="F35" s="173" t="s">
        <v>343</v>
      </c>
      <c r="G35" s="142" t="s">
        <v>313</v>
      </c>
      <c r="H35" s="142"/>
      <c r="I35" s="142" t="s">
        <v>313</v>
      </c>
      <c r="J35" s="142" t="s">
        <v>313</v>
      </c>
      <c r="K35" s="142"/>
      <c r="L35" s="142"/>
      <c r="M35" s="142"/>
      <c r="N35" s="150"/>
      <c r="O35" s="192"/>
      <c r="P35" s="192"/>
      <c r="Q35" s="193"/>
    </row>
    <row r="36" spans="1:17" ht="14.25" customHeight="1">
      <c r="A36" s="29">
        <f t="shared" si="0"/>
        <v>1.7</v>
      </c>
      <c r="B36" s="201">
        <v>1.7</v>
      </c>
      <c r="C36" s="202">
        <v>144</v>
      </c>
      <c r="D36" s="201" t="s">
        <v>365</v>
      </c>
      <c r="E36" s="201" t="s">
        <v>322</v>
      </c>
      <c r="F36" s="122" t="s">
        <v>341</v>
      </c>
      <c r="G36" s="77" t="s">
        <v>313</v>
      </c>
      <c r="H36" s="77"/>
      <c r="I36" s="77" t="s">
        <v>313</v>
      </c>
      <c r="J36" s="77" t="s">
        <v>313</v>
      </c>
      <c r="K36" s="77" t="s">
        <v>313</v>
      </c>
      <c r="L36" s="77"/>
      <c r="M36" s="77"/>
      <c r="N36" s="40"/>
      <c r="O36" s="181"/>
      <c r="P36" s="181"/>
      <c r="Q36" s="179"/>
    </row>
    <row r="37" spans="1:14" ht="14.25" customHeight="1">
      <c r="A37" s="29">
        <f t="shared" si="0"/>
        <v>1.7</v>
      </c>
      <c r="B37" s="201">
        <v>1.7</v>
      </c>
      <c r="C37" s="202">
        <v>165</v>
      </c>
      <c r="D37" s="201" t="s">
        <v>365</v>
      </c>
      <c r="E37" s="201" t="s">
        <v>322</v>
      </c>
      <c r="F37" s="122" t="s">
        <v>93</v>
      </c>
      <c r="G37" s="77" t="s">
        <v>313</v>
      </c>
      <c r="H37" s="77"/>
      <c r="I37" s="77" t="s">
        <v>313</v>
      </c>
      <c r="J37" s="77" t="s">
        <v>313</v>
      </c>
      <c r="K37" s="77"/>
      <c r="L37" s="77"/>
      <c r="M37" s="77"/>
      <c r="N37" s="40"/>
    </row>
    <row r="38" spans="1:14" ht="14.25" customHeight="1">
      <c r="A38" s="29">
        <f t="shared" si="0"/>
        <v>1.7</v>
      </c>
      <c r="B38" s="201">
        <v>1.7</v>
      </c>
      <c r="C38" s="202">
        <v>121</v>
      </c>
      <c r="D38" s="201" t="s">
        <v>365</v>
      </c>
      <c r="E38" s="201" t="s">
        <v>322</v>
      </c>
      <c r="F38" s="122" t="s">
        <v>347</v>
      </c>
      <c r="G38" s="77" t="s">
        <v>313</v>
      </c>
      <c r="H38" s="77"/>
      <c r="I38" s="77" t="s">
        <v>313</v>
      </c>
      <c r="J38" s="77" t="s">
        <v>313</v>
      </c>
      <c r="K38" s="77"/>
      <c r="L38" s="77"/>
      <c r="M38" s="77"/>
      <c r="N38" s="40"/>
    </row>
    <row r="39" spans="1:14" ht="14.25" customHeight="1">
      <c r="A39" s="29">
        <f t="shared" si="0"/>
        <v>1.7</v>
      </c>
      <c r="B39" s="201">
        <v>1.7</v>
      </c>
      <c r="C39" s="202">
        <v>153</v>
      </c>
      <c r="D39" s="201" t="s">
        <v>365</v>
      </c>
      <c r="E39" s="201" t="s">
        <v>322</v>
      </c>
      <c r="F39" s="122" t="s">
        <v>396</v>
      </c>
      <c r="G39" s="77" t="s">
        <v>313</v>
      </c>
      <c r="H39" s="77"/>
      <c r="I39" s="77" t="s">
        <v>313</v>
      </c>
      <c r="J39" s="77" t="s">
        <v>313</v>
      </c>
      <c r="K39" s="77" t="s">
        <v>313</v>
      </c>
      <c r="L39" s="77"/>
      <c r="M39" s="77"/>
      <c r="N39" s="40"/>
    </row>
    <row r="40" spans="1:14" ht="14.25" customHeight="1">
      <c r="A40" s="29">
        <f t="shared" si="0"/>
        <v>1.7</v>
      </c>
      <c r="B40" s="201">
        <v>1.7</v>
      </c>
      <c r="C40" s="202">
        <v>101</v>
      </c>
      <c r="D40" s="201" t="s">
        <v>365</v>
      </c>
      <c r="E40" s="201" t="s">
        <v>322</v>
      </c>
      <c r="F40" s="122" t="s">
        <v>704</v>
      </c>
      <c r="G40" s="77" t="s">
        <v>313</v>
      </c>
      <c r="H40" s="77"/>
      <c r="I40" s="77" t="s">
        <v>313</v>
      </c>
      <c r="J40" s="77" t="s">
        <v>313</v>
      </c>
      <c r="K40" s="77" t="s">
        <v>313</v>
      </c>
      <c r="L40" s="77"/>
      <c r="M40" s="77"/>
      <c r="N40" s="40"/>
    </row>
    <row r="41" spans="1:14" ht="14.25" customHeight="1">
      <c r="A41" s="29">
        <f t="shared" si="0"/>
        <v>1.7</v>
      </c>
      <c r="B41" s="201">
        <v>1.7</v>
      </c>
      <c r="C41" s="202">
        <v>97</v>
      </c>
      <c r="D41" s="201" t="s">
        <v>365</v>
      </c>
      <c r="E41" s="201" t="s">
        <v>322</v>
      </c>
      <c r="F41" s="122" t="s">
        <v>37</v>
      </c>
      <c r="G41" s="77" t="s">
        <v>313</v>
      </c>
      <c r="H41" s="77"/>
      <c r="I41" s="77" t="s">
        <v>313</v>
      </c>
      <c r="J41" s="77" t="s">
        <v>313</v>
      </c>
      <c r="K41" s="77"/>
      <c r="L41" s="77"/>
      <c r="M41" s="77"/>
      <c r="N41" s="40"/>
    </row>
    <row r="42" spans="1:14" ht="14.25" customHeight="1">
      <c r="A42" s="29">
        <f t="shared" si="0"/>
        <v>1.7</v>
      </c>
      <c r="B42" s="211">
        <v>1.7</v>
      </c>
      <c r="C42" s="212">
        <v>124</v>
      </c>
      <c r="D42" s="211" t="s">
        <v>365</v>
      </c>
      <c r="E42" s="211" t="s">
        <v>322</v>
      </c>
      <c r="F42" s="199" t="s">
        <v>400</v>
      </c>
      <c r="G42" s="77" t="s">
        <v>313</v>
      </c>
      <c r="H42" s="77"/>
      <c r="I42" s="77" t="s">
        <v>313</v>
      </c>
      <c r="J42" s="77" t="s">
        <v>313</v>
      </c>
      <c r="K42" s="77"/>
      <c r="L42" s="77"/>
      <c r="M42" s="77"/>
      <c r="N42" s="40"/>
    </row>
    <row r="43" spans="1:14" ht="14.25" customHeight="1">
      <c r="A43" s="29">
        <f t="shared" si="0"/>
        <v>1.7</v>
      </c>
      <c r="B43" s="201">
        <v>1.7</v>
      </c>
      <c r="C43" s="202">
        <v>146</v>
      </c>
      <c r="D43" s="201" t="s">
        <v>365</v>
      </c>
      <c r="E43" s="201" t="s">
        <v>322</v>
      </c>
      <c r="F43" s="122" t="s">
        <v>401</v>
      </c>
      <c r="G43" s="77" t="s">
        <v>313</v>
      </c>
      <c r="H43" s="77"/>
      <c r="I43" s="77" t="s">
        <v>313</v>
      </c>
      <c r="J43" s="77" t="s">
        <v>313</v>
      </c>
      <c r="K43" s="77"/>
      <c r="L43" s="77"/>
      <c r="M43" s="77"/>
      <c r="N43" s="40"/>
    </row>
    <row r="44" spans="1:17" ht="14.25" customHeight="1">
      <c r="A44" s="29">
        <f t="shared" si="0"/>
        <v>1.7</v>
      </c>
      <c r="B44" s="213">
        <v>1.7</v>
      </c>
      <c r="C44" s="214">
        <v>108</v>
      </c>
      <c r="D44" s="213" t="s">
        <v>365</v>
      </c>
      <c r="E44" s="213" t="s">
        <v>322</v>
      </c>
      <c r="F44" s="166" t="s">
        <v>402</v>
      </c>
      <c r="G44" s="77" t="s">
        <v>313</v>
      </c>
      <c r="H44" s="77"/>
      <c r="I44" s="77" t="s">
        <v>313</v>
      </c>
      <c r="J44" s="77" t="s">
        <v>313</v>
      </c>
      <c r="K44" s="77"/>
      <c r="L44" s="77"/>
      <c r="M44" s="77"/>
      <c r="N44" s="40"/>
      <c r="O44" s="13"/>
      <c r="P44" s="14"/>
      <c r="Q44" s="15"/>
    </row>
    <row r="45" spans="1:17" s="20" customFormat="1" ht="14.25" customHeight="1">
      <c r="A45" s="29">
        <f t="shared" si="0"/>
        <v>1.7</v>
      </c>
      <c r="B45" s="211">
        <v>1.7</v>
      </c>
      <c r="C45" s="212">
        <v>152</v>
      </c>
      <c r="D45" s="211" t="s">
        <v>365</v>
      </c>
      <c r="E45" s="215" t="s">
        <v>322</v>
      </c>
      <c r="F45" s="169" t="s">
        <v>357</v>
      </c>
      <c r="G45" s="77" t="s">
        <v>313</v>
      </c>
      <c r="H45" s="77"/>
      <c r="I45" s="77" t="s">
        <v>313</v>
      </c>
      <c r="J45" s="77" t="s">
        <v>313</v>
      </c>
      <c r="K45" s="77"/>
      <c r="L45" s="77"/>
      <c r="M45" s="77"/>
      <c r="N45" s="40"/>
      <c r="O45" s="13"/>
      <c r="P45" s="1"/>
      <c r="Q45" s="2"/>
    </row>
    <row r="46" spans="1:14" ht="14.25" customHeight="1">
      <c r="A46" s="29">
        <f t="shared" si="0"/>
        <v>1.15</v>
      </c>
      <c r="B46" s="201">
        <v>1.15</v>
      </c>
      <c r="C46" s="202">
        <v>4</v>
      </c>
      <c r="D46" s="201" t="s">
        <v>397</v>
      </c>
      <c r="E46" s="203" t="s">
        <v>322</v>
      </c>
      <c r="F46" s="122" t="s">
        <v>324</v>
      </c>
      <c r="G46" s="77" t="s">
        <v>313</v>
      </c>
      <c r="H46" s="77"/>
      <c r="I46" s="77" t="s">
        <v>313</v>
      </c>
      <c r="J46" s="77" t="s">
        <v>313</v>
      </c>
      <c r="K46" s="77"/>
      <c r="L46" s="77"/>
      <c r="M46" s="77"/>
      <c r="N46" s="40"/>
    </row>
    <row r="47" spans="1:14" ht="14.25" customHeight="1">
      <c r="A47" s="29">
        <f t="shared" si="0"/>
        <v>1.15</v>
      </c>
      <c r="B47" s="201">
        <v>1.15</v>
      </c>
      <c r="C47" s="202">
        <v>21</v>
      </c>
      <c r="D47" s="201" t="s">
        <v>397</v>
      </c>
      <c r="E47" s="201" t="s">
        <v>322</v>
      </c>
      <c r="F47" s="122" t="s">
        <v>268</v>
      </c>
      <c r="G47" s="77" t="s">
        <v>313</v>
      </c>
      <c r="H47" s="77"/>
      <c r="I47" s="77" t="s">
        <v>313</v>
      </c>
      <c r="J47" s="77" t="s">
        <v>313</v>
      </c>
      <c r="K47" s="77"/>
      <c r="L47" s="77"/>
      <c r="M47" s="77"/>
      <c r="N47" s="40"/>
    </row>
    <row r="48" spans="1:14" ht="14.25" customHeight="1">
      <c r="A48" s="29">
        <f t="shared" si="0"/>
        <v>1.15</v>
      </c>
      <c r="B48" s="201">
        <v>1.15</v>
      </c>
      <c r="C48" s="202">
        <v>19</v>
      </c>
      <c r="D48" s="201" t="s">
        <v>397</v>
      </c>
      <c r="E48" s="201" t="s">
        <v>322</v>
      </c>
      <c r="F48" s="122" t="s">
        <v>142</v>
      </c>
      <c r="G48" s="77" t="s">
        <v>313</v>
      </c>
      <c r="H48" s="77"/>
      <c r="I48" s="77" t="s">
        <v>313</v>
      </c>
      <c r="J48" s="77" t="s">
        <v>313</v>
      </c>
      <c r="K48" s="77"/>
      <c r="L48" s="77"/>
      <c r="M48" s="77"/>
      <c r="N48" s="40"/>
    </row>
    <row r="49" spans="1:14" ht="14.25" customHeight="1">
      <c r="A49" s="29">
        <f t="shared" si="0"/>
        <v>1.15</v>
      </c>
      <c r="B49" s="201">
        <v>1.15</v>
      </c>
      <c r="C49" s="202">
        <v>27</v>
      </c>
      <c r="D49" s="201" t="s">
        <v>397</v>
      </c>
      <c r="E49" s="201" t="s">
        <v>322</v>
      </c>
      <c r="F49" s="122" t="s">
        <v>344</v>
      </c>
      <c r="G49" s="77" t="s">
        <v>313</v>
      </c>
      <c r="H49" s="77"/>
      <c r="I49" s="77" t="s">
        <v>313</v>
      </c>
      <c r="J49" s="77" t="s">
        <v>313</v>
      </c>
      <c r="K49" s="77"/>
      <c r="L49" s="77"/>
      <c r="M49" s="77"/>
      <c r="N49" s="40"/>
    </row>
    <row r="50" spans="1:14" ht="14.25" customHeight="1">
      <c r="A50" s="29">
        <f t="shared" si="0"/>
        <v>1.15</v>
      </c>
      <c r="B50" s="201">
        <v>1.15</v>
      </c>
      <c r="C50" s="202">
        <v>17</v>
      </c>
      <c r="D50" s="201" t="s">
        <v>397</v>
      </c>
      <c r="E50" s="201" t="s">
        <v>322</v>
      </c>
      <c r="F50" s="122" t="s">
        <v>145</v>
      </c>
      <c r="G50" s="77" t="s">
        <v>313</v>
      </c>
      <c r="H50" s="77"/>
      <c r="I50" s="77" t="s">
        <v>313</v>
      </c>
      <c r="J50" s="77" t="s">
        <v>313</v>
      </c>
      <c r="K50" s="77"/>
      <c r="L50" s="77"/>
      <c r="M50" s="77"/>
      <c r="N50" s="40"/>
    </row>
    <row r="51" spans="1:14" ht="14.25" customHeight="1">
      <c r="A51" s="29">
        <f t="shared" si="0"/>
        <v>1.15</v>
      </c>
      <c r="B51" s="201">
        <v>1.15</v>
      </c>
      <c r="C51" s="202">
        <v>23</v>
      </c>
      <c r="D51" s="201" t="s">
        <v>397</v>
      </c>
      <c r="E51" s="201" t="s">
        <v>322</v>
      </c>
      <c r="F51" s="122" t="s">
        <v>187</v>
      </c>
      <c r="G51" s="77" t="s">
        <v>313</v>
      </c>
      <c r="H51" s="77"/>
      <c r="I51" s="77" t="s">
        <v>313</v>
      </c>
      <c r="J51" s="77" t="s">
        <v>313</v>
      </c>
      <c r="K51" s="77"/>
      <c r="L51" s="77"/>
      <c r="M51" s="77"/>
      <c r="N51" s="40"/>
    </row>
    <row r="52" spans="1:14" ht="14.25" customHeight="1">
      <c r="A52" s="29">
        <f t="shared" si="0"/>
        <v>1.15</v>
      </c>
      <c r="B52" s="201">
        <v>1.15</v>
      </c>
      <c r="C52" s="202">
        <v>9</v>
      </c>
      <c r="D52" s="201" t="s">
        <v>397</v>
      </c>
      <c r="E52" s="201" t="s">
        <v>322</v>
      </c>
      <c r="F52" s="122" t="s">
        <v>188</v>
      </c>
      <c r="G52" s="77" t="s">
        <v>313</v>
      </c>
      <c r="H52" s="77"/>
      <c r="I52" s="77" t="s">
        <v>313</v>
      </c>
      <c r="J52" s="77" t="s">
        <v>313</v>
      </c>
      <c r="K52" s="77"/>
      <c r="L52" s="77"/>
      <c r="M52" s="77"/>
      <c r="N52" s="40"/>
    </row>
    <row r="53" spans="1:14" ht="14.25" customHeight="1">
      <c r="A53" s="29">
        <f t="shared" si="0"/>
        <v>1.15</v>
      </c>
      <c r="B53" s="201">
        <v>1.15</v>
      </c>
      <c r="C53" s="202">
        <v>38</v>
      </c>
      <c r="D53" s="201" t="s">
        <v>397</v>
      </c>
      <c r="E53" s="201" t="s">
        <v>322</v>
      </c>
      <c r="F53" s="118" t="s">
        <v>398</v>
      </c>
      <c r="G53" s="77" t="s">
        <v>313</v>
      </c>
      <c r="H53" s="77"/>
      <c r="I53" s="77" t="s">
        <v>313</v>
      </c>
      <c r="J53" s="77" t="s">
        <v>313</v>
      </c>
      <c r="K53" s="77"/>
      <c r="L53" s="77"/>
      <c r="M53" s="77"/>
      <c r="N53" s="40"/>
    </row>
    <row r="54" spans="1:14" ht="14.25" customHeight="1">
      <c r="A54" s="29">
        <f t="shared" si="0"/>
        <v>1.15</v>
      </c>
      <c r="B54" s="201">
        <v>1.15</v>
      </c>
      <c r="C54" s="202">
        <v>161</v>
      </c>
      <c r="D54" s="201" t="s">
        <v>397</v>
      </c>
      <c r="E54" s="201" t="s">
        <v>322</v>
      </c>
      <c r="F54" s="122" t="s">
        <v>399</v>
      </c>
      <c r="G54" s="77" t="s">
        <v>313</v>
      </c>
      <c r="H54" s="77"/>
      <c r="I54" s="77" t="s">
        <v>313</v>
      </c>
      <c r="J54" s="77" t="s">
        <v>313</v>
      </c>
      <c r="K54" s="77"/>
      <c r="L54" s="77"/>
      <c r="M54" s="77"/>
      <c r="N54" s="40"/>
    </row>
    <row r="55" spans="1:14" ht="14.25" customHeight="1">
      <c r="A55" s="29">
        <f>B55</f>
        <v>1.7</v>
      </c>
      <c r="B55" s="201">
        <v>1.7</v>
      </c>
      <c r="C55" s="202">
        <v>39</v>
      </c>
      <c r="D55" s="201" t="s">
        <v>365</v>
      </c>
      <c r="E55" s="201" t="s">
        <v>322</v>
      </c>
      <c r="F55" s="122" t="s">
        <v>449</v>
      </c>
      <c r="G55" s="77" t="s">
        <v>313</v>
      </c>
      <c r="H55" s="77"/>
      <c r="I55" s="77" t="s">
        <v>313</v>
      </c>
      <c r="J55" s="77" t="s">
        <v>313</v>
      </c>
      <c r="K55" s="77" t="s">
        <v>313</v>
      </c>
      <c r="L55" s="77"/>
      <c r="M55" s="77"/>
      <c r="N55" s="40"/>
    </row>
    <row r="56" spans="1:14" ht="14.25" customHeight="1">
      <c r="A56" s="29">
        <f>B56</f>
        <v>1.31</v>
      </c>
      <c r="B56" s="201">
        <v>1.31</v>
      </c>
      <c r="C56" s="202" t="s">
        <v>490</v>
      </c>
      <c r="D56" s="201" t="s">
        <v>217</v>
      </c>
      <c r="E56" s="201" t="s">
        <v>322</v>
      </c>
      <c r="F56" s="122" t="s">
        <v>91</v>
      </c>
      <c r="G56" s="77" t="s">
        <v>313</v>
      </c>
      <c r="H56" s="77"/>
      <c r="I56" s="77" t="s">
        <v>313</v>
      </c>
      <c r="J56" s="77" t="s">
        <v>313</v>
      </c>
      <c r="K56" s="77"/>
      <c r="L56" s="77"/>
      <c r="M56" s="77"/>
      <c r="N56" s="40"/>
    </row>
    <row r="57" spans="1:14" ht="14.25" customHeight="1">
      <c r="A57" s="29">
        <f>B57</f>
        <v>1.31</v>
      </c>
      <c r="B57" s="201">
        <v>1.31</v>
      </c>
      <c r="C57" s="202" t="s">
        <v>491</v>
      </c>
      <c r="D57" s="201" t="s">
        <v>217</v>
      </c>
      <c r="E57" s="201" t="s">
        <v>322</v>
      </c>
      <c r="F57" s="122" t="s">
        <v>186</v>
      </c>
      <c r="G57" s="77" t="s">
        <v>313</v>
      </c>
      <c r="H57" s="77"/>
      <c r="I57" s="77" t="s">
        <v>313</v>
      </c>
      <c r="J57" s="77" t="s">
        <v>313</v>
      </c>
      <c r="K57" s="77"/>
      <c r="L57" s="77"/>
      <c r="M57" s="77"/>
      <c r="N57" s="40"/>
    </row>
    <row r="58" spans="1:14" ht="14.25" customHeight="1">
      <c r="A58" s="29">
        <f>B58</f>
        <v>1.31</v>
      </c>
      <c r="B58" s="201">
        <v>1.31</v>
      </c>
      <c r="C58" s="202" t="s">
        <v>489</v>
      </c>
      <c r="D58" s="201" t="s">
        <v>217</v>
      </c>
      <c r="E58" s="201" t="s">
        <v>322</v>
      </c>
      <c r="F58" s="122" t="s">
        <v>340</v>
      </c>
      <c r="G58" s="77"/>
      <c r="H58" s="77"/>
      <c r="I58" s="77" t="s">
        <v>313</v>
      </c>
      <c r="J58" s="77" t="s">
        <v>313</v>
      </c>
      <c r="K58" s="77"/>
      <c r="L58" s="77"/>
      <c r="M58" s="77"/>
      <c r="N58" s="40"/>
    </row>
    <row r="59" spans="2:14" ht="29.25" customHeight="1">
      <c r="B59" s="201">
        <v>1.31</v>
      </c>
      <c r="C59" s="202" t="s">
        <v>488</v>
      </c>
      <c r="D59" s="201" t="s">
        <v>217</v>
      </c>
      <c r="E59" s="201" t="s">
        <v>322</v>
      </c>
      <c r="F59" s="122" t="s">
        <v>342</v>
      </c>
      <c r="G59" s="77"/>
      <c r="H59" s="77"/>
      <c r="I59" s="77" t="s">
        <v>313</v>
      </c>
      <c r="J59" s="77" t="s">
        <v>313</v>
      </c>
      <c r="K59" s="77"/>
      <c r="L59" s="77"/>
      <c r="M59" s="77"/>
      <c r="N59" s="40"/>
    </row>
    <row r="60" spans="1:17" s="14" customFormat="1" ht="0" customHeight="1" hidden="1">
      <c r="A60" s="26"/>
      <c r="B60" s="204"/>
      <c r="C60" s="206" t="s">
        <v>321</v>
      </c>
      <c r="D60" s="206"/>
      <c r="E60" s="205"/>
      <c r="F60" s="124"/>
      <c r="G60" s="83"/>
      <c r="H60" s="83"/>
      <c r="I60" s="83"/>
      <c r="J60" s="84"/>
      <c r="K60" s="85"/>
      <c r="L60" s="86"/>
      <c r="M60" s="111"/>
      <c r="N60" s="41"/>
      <c r="O60" s="13"/>
      <c r="P60" s="13"/>
      <c r="Q60" s="2"/>
    </row>
    <row r="61" spans="1:14" ht="15" customHeight="1">
      <c r="A61" s="33"/>
      <c r="B61" s="207"/>
      <c r="C61" s="233" t="s">
        <v>309</v>
      </c>
      <c r="D61" s="234">
        <f>1!E10</f>
        <v>24</v>
      </c>
      <c r="E61" s="208" t="s">
        <v>403</v>
      </c>
      <c r="F61" s="133" t="s">
        <v>404</v>
      </c>
      <c r="G61" s="74"/>
      <c r="H61" s="75"/>
      <c r="I61" s="73"/>
      <c r="J61" s="73"/>
      <c r="K61" s="73"/>
      <c r="L61" s="81"/>
      <c r="M61" s="112"/>
      <c r="N61" s="41"/>
    </row>
    <row r="62" spans="1:14" ht="14.25" customHeight="1">
      <c r="A62" s="29">
        <f aca="true" t="shared" si="1" ref="A62:A76">B62</f>
        <v>1.7</v>
      </c>
      <c r="B62" s="201">
        <v>1.7</v>
      </c>
      <c r="C62" s="202">
        <v>104</v>
      </c>
      <c r="D62" s="201" t="s">
        <v>365</v>
      </c>
      <c r="E62" s="201" t="s">
        <v>403</v>
      </c>
      <c r="F62" s="122" t="s">
        <v>32</v>
      </c>
      <c r="G62" s="77" t="s">
        <v>313</v>
      </c>
      <c r="H62" s="77"/>
      <c r="I62" s="77" t="s">
        <v>313</v>
      </c>
      <c r="J62" s="77" t="s">
        <v>313</v>
      </c>
      <c r="K62" s="77"/>
      <c r="L62" s="77"/>
      <c r="M62" s="77"/>
      <c r="N62" s="40"/>
    </row>
    <row r="63" spans="1:14" ht="14.25" customHeight="1">
      <c r="A63" s="29">
        <f t="shared" si="1"/>
        <v>1.7</v>
      </c>
      <c r="B63" s="211">
        <v>1.7</v>
      </c>
      <c r="C63" s="212">
        <v>159</v>
      </c>
      <c r="D63" s="211" t="s">
        <v>365</v>
      </c>
      <c r="E63" s="211" t="s">
        <v>403</v>
      </c>
      <c r="F63" s="173" t="s">
        <v>451</v>
      </c>
      <c r="G63" s="77"/>
      <c r="H63" s="77"/>
      <c r="I63" s="77" t="s">
        <v>313</v>
      </c>
      <c r="J63" s="77" t="s">
        <v>313</v>
      </c>
      <c r="K63" s="77"/>
      <c r="L63" s="77"/>
      <c r="M63" s="77"/>
      <c r="N63" s="40"/>
    </row>
    <row r="64" spans="1:14" ht="14.25" customHeight="1">
      <c r="A64" s="29">
        <f t="shared" si="1"/>
        <v>1.7</v>
      </c>
      <c r="B64" s="201">
        <v>1.7</v>
      </c>
      <c r="C64" s="202" t="s">
        <v>690</v>
      </c>
      <c r="D64" s="201" t="s">
        <v>365</v>
      </c>
      <c r="E64" s="201" t="s">
        <v>403</v>
      </c>
      <c r="F64" s="122" t="s">
        <v>452</v>
      </c>
      <c r="G64" s="77" t="s">
        <v>313</v>
      </c>
      <c r="H64" s="77"/>
      <c r="I64" s="77" t="s">
        <v>313</v>
      </c>
      <c r="J64" s="77"/>
      <c r="K64" s="77" t="s">
        <v>313</v>
      </c>
      <c r="L64" s="77"/>
      <c r="M64" s="77"/>
      <c r="N64" s="40"/>
    </row>
    <row r="65" spans="2:14" ht="14.25" customHeight="1">
      <c r="B65" s="211">
        <v>1.7</v>
      </c>
      <c r="C65" s="212" t="s">
        <v>691</v>
      </c>
      <c r="D65" s="211" t="s">
        <v>365</v>
      </c>
      <c r="E65" s="211" t="s">
        <v>403</v>
      </c>
      <c r="F65" s="197" t="s">
        <v>469</v>
      </c>
      <c r="G65" s="77" t="s">
        <v>313</v>
      </c>
      <c r="H65" s="77"/>
      <c r="I65" s="77" t="s">
        <v>313</v>
      </c>
      <c r="J65" s="77" t="s">
        <v>313</v>
      </c>
      <c r="K65" s="77"/>
      <c r="L65" s="77"/>
      <c r="M65" s="77"/>
      <c r="N65" s="40"/>
    </row>
    <row r="66" spans="1:14" ht="14.25" customHeight="1">
      <c r="A66" s="29">
        <f t="shared" si="1"/>
        <v>1.7</v>
      </c>
      <c r="B66" s="201">
        <v>1.7</v>
      </c>
      <c r="C66" s="202">
        <v>127</v>
      </c>
      <c r="D66" s="201" t="s">
        <v>365</v>
      </c>
      <c r="E66" s="201" t="s">
        <v>403</v>
      </c>
      <c r="F66" s="122" t="s">
        <v>38</v>
      </c>
      <c r="G66" s="77" t="s">
        <v>313</v>
      </c>
      <c r="H66" s="77"/>
      <c r="I66" s="77"/>
      <c r="J66" s="77" t="s">
        <v>313</v>
      </c>
      <c r="K66" s="77"/>
      <c r="L66" s="77"/>
      <c r="M66" s="77"/>
      <c r="N66" s="40"/>
    </row>
    <row r="67" spans="1:14" ht="14.25" customHeight="1">
      <c r="A67" s="29">
        <f t="shared" si="1"/>
        <v>1.7</v>
      </c>
      <c r="B67" s="211">
        <v>1.7</v>
      </c>
      <c r="C67" s="212">
        <v>105</v>
      </c>
      <c r="D67" s="211" t="s">
        <v>365</v>
      </c>
      <c r="E67" s="211" t="s">
        <v>403</v>
      </c>
      <c r="F67" s="173" t="s">
        <v>162</v>
      </c>
      <c r="G67" s="77" t="s">
        <v>313</v>
      </c>
      <c r="H67" s="77"/>
      <c r="I67" s="77" t="s">
        <v>313</v>
      </c>
      <c r="J67" s="77" t="s">
        <v>313</v>
      </c>
      <c r="K67" s="77"/>
      <c r="L67" s="77"/>
      <c r="M67" s="77"/>
      <c r="N67" s="40"/>
    </row>
    <row r="68" spans="1:14" ht="14.25" customHeight="1">
      <c r="A68" s="29">
        <f t="shared" si="1"/>
        <v>1.7</v>
      </c>
      <c r="B68" s="201">
        <v>1.7</v>
      </c>
      <c r="C68" s="202">
        <v>94</v>
      </c>
      <c r="D68" s="201" t="s">
        <v>365</v>
      </c>
      <c r="E68" s="201" t="s">
        <v>403</v>
      </c>
      <c r="F68" s="122" t="s">
        <v>358</v>
      </c>
      <c r="G68" s="77" t="s">
        <v>313</v>
      </c>
      <c r="H68" s="77"/>
      <c r="I68" s="77" t="s">
        <v>313</v>
      </c>
      <c r="J68" s="77" t="s">
        <v>313</v>
      </c>
      <c r="K68" s="77"/>
      <c r="L68" s="77"/>
      <c r="M68" s="77"/>
      <c r="N68" s="40"/>
    </row>
    <row r="69" spans="1:14" ht="14.25" customHeight="1">
      <c r="A69" s="29">
        <f t="shared" si="1"/>
        <v>1.15</v>
      </c>
      <c r="B69" s="201">
        <v>1.15</v>
      </c>
      <c r="C69" s="202">
        <v>118</v>
      </c>
      <c r="D69" s="201" t="s">
        <v>397</v>
      </c>
      <c r="E69" s="201" t="s">
        <v>403</v>
      </c>
      <c r="F69" s="122" t="s">
        <v>394</v>
      </c>
      <c r="G69" s="77" t="s">
        <v>313</v>
      </c>
      <c r="H69" s="77"/>
      <c r="I69" s="77" t="s">
        <v>313</v>
      </c>
      <c r="J69" s="77" t="s">
        <v>313</v>
      </c>
      <c r="K69" s="77"/>
      <c r="L69" s="77"/>
      <c r="M69" s="77"/>
      <c r="N69" s="40"/>
    </row>
    <row r="70" spans="1:14" ht="14.25" customHeight="1">
      <c r="A70" s="29">
        <f t="shared" si="1"/>
        <v>1.15</v>
      </c>
      <c r="B70" s="201">
        <v>1.15</v>
      </c>
      <c r="C70" s="202">
        <v>122</v>
      </c>
      <c r="D70" s="201" t="s">
        <v>397</v>
      </c>
      <c r="E70" s="201" t="s">
        <v>403</v>
      </c>
      <c r="F70" s="122" t="s">
        <v>285</v>
      </c>
      <c r="G70" s="77" t="s">
        <v>313</v>
      </c>
      <c r="H70" s="77"/>
      <c r="I70" s="77" t="s">
        <v>313</v>
      </c>
      <c r="J70" s="77" t="s">
        <v>313</v>
      </c>
      <c r="K70" s="77"/>
      <c r="L70" s="77"/>
      <c r="M70" s="77"/>
      <c r="N70" s="40"/>
    </row>
    <row r="71" spans="1:14" ht="14.25" customHeight="1">
      <c r="A71" s="29">
        <f t="shared" si="1"/>
        <v>1.15</v>
      </c>
      <c r="B71" s="201">
        <v>1.15</v>
      </c>
      <c r="C71" s="202">
        <v>3</v>
      </c>
      <c r="D71" s="201" t="s">
        <v>397</v>
      </c>
      <c r="E71" s="201" t="s">
        <v>403</v>
      </c>
      <c r="F71" s="122" t="s">
        <v>33</v>
      </c>
      <c r="G71" s="77" t="s">
        <v>313</v>
      </c>
      <c r="H71" s="77"/>
      <c r="I71" s="77" t="s">
        <v>313</v>
      </c>
      <c r="J71" s="77" t="s">
        <v>313</v>
      </c>
      <c r="K71" s="77"/>
      <c r="L71" s="77"/>
      <c r="M71" s="77"/>
      <c r="N71" s="40"/>
    </row>
    <row r="72" spans="1:14" ht="14.25" customHeight="1">
      <c r="A72" s="29">
        <f t="shared" si="1"/>
        <v>1.15</v>
      </c>
      <c r="B72" s="201">
        <v>1.15</v>
      </c>
      <c r="C72" s="202">
        <v>150</v>
      </c>
      <c r="D72" s="201" t="s">
        <v>397</v>
      </c>
      <c r="E72" s="201" t="s">
        <v>403</v>
      </c>
      <c r="F72" s="122" t="s">
        <v>269</v>
      </c>
      <c r="G72" s="77" t="s">
        <v>313</v>
      </c>
      <c r="H72" s="77"/>
      <c r="I72" s="77" t="s">
        <v>313</v>
      </c>
      <c r="J72" s="77" t="s">
        <v>313</v>
      </c>
      <c r="K72" s="77"/>
      <c r="L72" s="77"/>
      <c r="M72" s="77"/>
      <c r="N72" s="40"/>
    </row>
    <row r="73" spans="1:14" ht="14.25" customHeight="1">
      <c r="A73" s="29">
        <f t="shared" si="1"/>
        <v>1.15</v>
      </c>
      <c r="B73" s="201">
        <v>1.15</v>
      </c>
      <c r="C73" s="202">
        <v>7</v>
      </c>
      <c r="D73" s="201" t="s">
        <v>277</v>
      </c>
      <c r="E73" s="201" t="s">
        <v>403</v>
      </c>
      <c r="F73" s="122" t="s">
        <v>85</v>
      </c>
      <c r="G73" s="77" t="s">
        <v>313</v>
      </c>
      <c r="H73" s="77"/>
      <c r="I73" s="77" t="s">
        <v>313</v>
      </c>
      <c r="J73" s="77" t="s">
        <v>313</v>
      </c>
      <c r="K73" s="77"/>
      <c r="L73" s="77"/>
      <c r="M73" s="77"/>
      <c r="N73" s="40"/>
    </row>
    <row r="74" spans="1:14" ht="14.25" customHeight="1">
      <c r="A74" s="29">
        <f t="shared" si="1"/>
        <v>1.15</v>
      </c>
      <c r="B74" s="201">
        <v>1.15</v>
      </c>
      <c r="C74" s="202">
        <v>16</v>
      </c>
      <c r="D74" s="201" t="s">
        <v>397</v>
      </c>
      <c r="E74" s="201" t="s">
        <v>403</v>
      </c>
      <c r="F74" s="122" t="s">
        <v>86</v>
      </c>
      <c r="G74" s="77"/>
      <c r="H74" s="77"/>
      <c r="I74" s="77" t="s">
        <v>313</v>
      </c>
      <c r="J74" s="77" t="s">
        <v>313</v>
      </c>
      <c r="K74" s="77"/>
      <c r="L74" s="77"/>
      <c r="M74" s="77"/>
      <c r="N74" s="40"/>
    </row>
    <row r="75" spans="1:14" ht="14.25" customHeight="1">
      <c r="A75" s="29">
        <f t="shared" si="1"/>
        <v>1.15</v>
      </c>
      <c r="B75" s="201">
        <v>1.15</v>
      </c>
      <c r="C75" s="202">
        <v>169</v>
      </c>
      <c r="D75" s="201" t="s">
        <v>397</v>
      </c>
      <c r="E75" s="201" t="s">
        <v>403</v>
      </c>
      <c r="F75" s="122" t="s">
        <v>161</v>
      </c>
      <c r="G75" s="77" t="s">
        <v>313</v>
      </c>
      <c r="H75" s="77"/>
      <c r="I75" s="77" t="s">
        <v>313</v>
      </c>
      <c r="J75" s="77" t="s">
        <v>313</v>
      </c>
      <c r="K75" s="77"/>
      <c r="L75" s="77"/>
      <c r="M75" s="77"/>
      <c r="N75" s="40"/>
    </row>
    <row r="76" spans="1:14" ht="14.25" customHeight="1">
      <c r="A76" s="29">
        <f t="shared" si="1"/>
        <v>1.15</v>
      </c>
      <c r="B76" s="201">
        <v>1.15</v>
      </c>
      <c r="C76" s="202">
        <v>8</v>
      </c>
      <c r="D76" s="218" t="s">
        <v>277</v>
      </c>
      <c r="E76" s="201" t="s">
        <v>403</v>
      </c>
      <c r="F76" s="137" t="s">
        <v>164</v>
      </c>
      <c r="G76" s="77" t="s">
        <v>313</v>
      </c>
      <c r="H76" s="77"/>
      <c r="I76" s="77" t="s">
        <v>313</v>
      </c>
      <c r="J76" s="77" t="s">
        <v>313</v>
      </c>
      <c r="K76" s="77"/>
      <c r="L76" s="77"/>
      <c r="M76" s="77"/>
      <c r="N76" s="40"/>
    </row>
    <row r="77" spans="1:14" ht="14.25" customHeight="1">
      <c r="A77" s="29">
        <f aca="true" t="shared" si="2" ref="A77:A85">B77</f>
        <v>1.7</v>
      </c>
      <c r="B77" s="201">
        <v>1.7</v>
      </c>
      <c r="C77" s="202">
        <v>6</v>
      </c>
      <c r="D77" s="201" t="s">
        <v>365</v>
      </c>
      <c r="E77" s="201" t="s">
        <v>403</v>
      </c>
      <c r="F77" s="122" t="s">
        <v>393</v>
      </c>
      <c r="G77" s="77" t="s">
        <v>313</v>
      </c>
      <c r="H77" s="77"/>
      <c r="I77" s="77" t="s">
        <v>313</v>
      </c>
      <c r="J77" s="77" t="s">
        <v>313</v>
      </c>
      <c r="K77" s="77"/>
      <c r="L77" s="77"/>
      <c r="M77" s="77"/>
      <c r="N77" s="40"/>
    </row>
    <row r="78" spans="1:14" ht="14.25" customHeight="1">
      <c r="A78" s="29">
        <f t="shared" si="2"/>
        <v>1.7</v>
      </c>
      <c r="B78" s="201">
        <v>1.7</v>
      </c>
      <c r="C78" s="202">
        <v>5</v>
      </c>
      <c r="D78" s="201" t="s">
        <v>365</v>
      </c>
      <c r="E78" s="201" t="s">
        <v>403</v>
      </c>
      <c r="F78" s="122" t="s">
        <v>286</v>
      </c>
      <c r="G78" s="77" t="s">
        <v>313</v>
      </c>
      <c r="H78" s="77"/>
      <c r="I78" s="77" t="s">
        <v>313</v>
      </c>
      <c r="J78" s="77" t="s">
        <v>313</v>
      </c>
      <c r="K78" s="77"/>
      <c r="L78" s="77"/>
      <c r="M78" s="77"/>
      <c r="N78" s="40"/>
    </row>
    <row r="79" spans="1:14" ht="14.25" customHeight="1">
      <c r="A79" s="29">
        <f t="shared" si="2"/>
        <v>1.7</v>
      </c>
      <c r="B79" s="201">
        <v>1.7</v>
      </c>
      <c r="C79" s="202">
        <v>15</v>
      </c>
      <c r="D79" s="201" t="s">
        <v>365</v>
      </c>
      <c r="E79" s="201" t="s">
        <v>403</v>
      </c>
      <c r="F79" s="122" t="s">
        <v>31</v>
      </c>
      <c r="G79" s="77"/>
      <c r="H79" s="77"/>
      <c r="I79" s="77" t="s">
        <v>313</v>
      </c>
      <c r="J79" s="77" t="s">
        <v>313</v>
      </c>
      <c r="K79" s="77"/>
      <c r="L79" s="77"/>
      <c r="M79" s="77"/>
      <c r="N79" s="40"/>
    </row>
    <row r="80" spans="2:14" ht="14.25" customHeight="1">
      <c r="B80" s="201">
        <v>1.7</v>
      </c>
      <c r="C80" s="202">
        <v>201</v>
      </c>
      <c r="D80" s="201" t="s">
        <v>365</v>
      </c>
      <c r="E80" s="201" t="s">
        <v>403</v>
      </c>
      <c r="F80" s="122" t="s">
        <v>95</v>
      </c>
      <c r="G80" s="77" t="s">
        <v>313</v>
      </c>
      <c r="H80" s="77"/>
      <c r="I80" s="77" t="s">
        <v>313</v>
      </c>
      <c r="J80" s="77" t="s">
        <v>313</v>
      </c>
      <c r="K80" s="77"/>
      <c r="L80" s="77"/>
      <c r="M80" s="77"/>
      <c r="N80" s="40"/>
    </row>
    <row r="81" spans="1:14" ht="25.5" customHeight="1">
      <c r="A81" s="29">
        <f t="shared" si="2"/>
        <v>1.7</v>
      </c>
      <c r="B81" s="201">
        <v>1.7</v>
      </c>
      <c r="C81" s="202">
        <v>40</v>
      </c>
      <c r="D81" s="201" t="s">
        <v>365</v>
      </c>
      <c r="E81" s="201" t="s">
        <v>403</v>
      </c>
      <c r="F81" s="122" t="s">
        <v>39</v>
      </c>
      <c r="G81" s="77" t="s">
        <v>313</v>
      </c>
      <c r="H81" s="77"/>
      <c r="I81" s="77" t="s">
        <v>313</v>
      </c>
      <c r="J81" s="77" t="s">
        <v>313</v>
      </c>
      <c r="K81" s="77" t="s">
        <v>313</v>
      </c>
      <c r="L81" s="77"/>
      <c r="M81" s="77"/>
      <c r="N81" s="40"/>
    </row>
    <row r="82" spans="1:14" ht="14.25" customHeight="1">
      <c r="A82" s="29">
        <f t="shared" si="2"/>
        <v>1.7</v>
      </c>
      <c r="B82" s="201">
        <v>1.7</v>
      </c>
      <c r="C82" s="202">
        <v>45</v>
      </c>
      <c r="D82" s="201" t="s">
        <v>365</v>
      </c>
      <c r="E82" s="201" t="s">
        <v>403</v>
      </c>
      <c r="F82" s="122" t="s">
        <v>140</v>
      </c>
      <c r="G82" s="77" t="s">
        <v>313</v>
      </c>
      <c r="H82" s="77"/>
      <c r="I82" s="77" t="s">
        <v>313</v>
      </c>
      <c r="J82" s="77" t="s">
        <v>313</v>
      </c>
      <c r="K82" s="77"/>
      <c r="L82" s="77"/>
      <c r="M82" s="77"/>
      <c r="N82" s="40"/>
    </row>
    <row r="83" spans="1:14" ht="14.25" customHeight="1">
      <c r="A83" s="29">
        <f t="shared" si="2"/>
        <v>1.7</v>
      </c>
      <c r="B83" s="211">
        <v>1.7</v>
      </c>
      <c r="C83" s="212">
        <v>4</v>
      </c>
      <c r="D83" s="211" t="s">
        <v>365</v>
      </c>
      <c r="E83" s="211" t="s">
        <v>403</v>
      </c>
      <c r="F83" s="173" t="s">
        <v>163</v>
      </c>
      <c r="G83" s="77" t="s">
        <v>313</v>
      </c>
      <c r="H83" s="77"/>
      <c r="I83" s="77" t="s">
        <v>313</v>
      </c>
      <c r="J83" s="77" t="s">
        <v>313</v>
      </c>
      <c r="K83" s="77"/>
      <c r="L83" s="77"/>
      <c r="M83" s="77"/>
      <c r="N83" s="40"/>
    </row>
    <row r="84" spans="1:14" ht="14.25" customHeight="1">
      <c r="A84" s="29">
        <f t="shared" si="2"/>
        <v>1.7</v>
      </c>
      <c r="B84" s="201">
        <v>1.7</v>
      </c>
      <c r="C84" s="202">
        <v>46</v>
      </c>
      <c r="D84" s="201" t="s">
        <v>365</v>
      </c>
      <c r="E84" s="201" t="s">
        <v>403</v>
      </c>
      <c r="F84" s="122" t="s">
        <v>141</v>
      </c>
      <c r="G84" s="77" t="s">
        <v>313</v>
      </c>
      <c r="H84" s="77"/>
      <c r="I84" s="77" t="s">
        <v>313</v>
      </c>
      <c r="J84" s="77" t="s">
        <v>313</v>
      </c>
      <c r="K84" s="77"/>
      <c r="L84" s="77"/>
      <c r="M84" s="77"/>
      <c r="N84" s="40"/>
    </row>
    <row r="85" spans="1:14" ht="14.25" customHeight="1">
      <c r="A85" s="29">
        <f t="shared" si="2"/>
        <v>1.31</v>
      </c>
      <c r="B85" s="219">
        <v>1.31</v>
      </c>
      <c r="C85" s="220" t="s">
        <v>494</v>
      </c>
      <c r="D85" s="219" t="s">
        <v>217</v>
      </c>
      <c r="E85" s="219" t="s">
        <v>403</v>
      </c>
      <c r="F85" s="125" t="s">
        <v>495</v>
      </c>
      <c r="G85" s="87" t="s">
        <v>313</v>
      </c>
      <c r="H85" s="87"/>
      <c r="I85" s="87" t="s">
        <v>313</v>
      </c>
      <c r="J85" s="87" t="s">
        <v>313</v>
      </c>
      <c r="K85" s="87"/>
      <c r="L85" s="87"/>
      <c r="M85" s="87"/>
      <c r="N85" s="40"/>
    </row>
    <row r="86" spans="1:17" s="64" customFormat="1" ht="0.75" customHeight="1">
      <c r="A86" s="101"/>
      <c r="B86" s="204"/>
      <c r="C86" s="205" t="s">
        <v>321</v>
      </c>
      <c r="D86" s="205"/>
      <c r="E86" s="205"/>
      <c r="F86" s="126"/>
      <c r="G86" s="88"/>
      <c r="H86" s="88"/>
      <c r="I86" s="88"/>
      <c r="J86" s="89"/>
      <c r="K86" s="90"/>
      <c r="L86" s="65"/>
      <c r="M86" s="113"/>
      <c r="N86" s="103"/>
      <c r="O86" s="66"/>
      <c r="P86" s="66"/>
      <c r="Q86" s="63"/>
    </row>
    <row r="87" spans="1:14" ht="15" customHeight="1">
      <c r="A87" s="33"/>
      <c r="B87" s="207"/>
      <c r="C87" s="233" t="s">
        <v>309</v>
      </c>
      <c r="D87" s="234">
        <f>1!E11</f>
        <v>36</v>
      </c>
      <c r="E87" s="208" t="s">
        <v>111</v>
      </c>
      <c r="F87" s="133" t="s">
        <v>112</v>
      </c>
      <c r="G87" s="74"/>
      <c r="H87" s="75"/>
      <c r="I87" s="73"/>
      <c r="J87" s="73"/>
      <c r="K87" s="73"/>
      <c r="L87" s="81"/>
      <c r="M87" s="112"/>
      <c r="N87" s="41"/>
    </row>
    <row r="88" spans="1:14" ht="14.25" customHeight="1">
      <c r="A88" s="29">
        <f aca="true" t="shared" si="3" ref="A88:A109">B88</f>
        <v>1.7</v>
      </c>
      <c r="B88" s="201">
        <v>1.7</v>
      </c>
      <c r="C88" s="202">
        <v>145</v>
      </c>
      <c r="D88" s="201" t="s">
        <v>365</v>
      </c>
      <c r="E88" s="201" t="s">
        <v>111</v>
      </c>
      <c r="F88" s="122" t="s">
        <v>43</v>
      </c>
      <c r="G88" s="77" t="s">
        <v>313</v>
      </c>
      <c r="H88" s="77"/>
      <c r="I88" s="77" t="s">
        <v>313</v>
      </c>
      <c r="J88" s="77" t="s">
        <v>313</v>
      </c>
      <c r="K88" s="77"/>
      <c r="L88" s="77"/>
      <c r="M88" s="77"/>
      <c r="N88" s="40"/>
    </row>
    <row r="89" spans="1:14" ht="14.25" customHeight="1">
      <c r="A89" s="29">
        <f t="shared" si="3"/>
        <v>1.7</v>
      </c>
      <c r="B89" s="201">
        <v>1.7</v>
      </c>
      <c r="C89" s="202">
        <v>164</v>
      </c>
      <c r="D89" s="201" t="s">
        <v>365</v>
      </c>
      <c r="E89" s="201" t="s">
        <v>111</v>
      </c>
      <c r="F89" s="122" t="s">
        <v>118</v>
      </c>
      <c r="G89" s="77" t="s">
        <v>313</v>
      </c>
      <c r="H89" s="77"/>
      <c r="I89" s="77" t="s">
        <v>313</v>
      </c>
      <c r="J89" s="77" t="s">
        <v>313</v>
      </c>
      <c r="K89" s="77"/>
      <c r="L89" s="77"/>
      <c r="M89" s="77"/>
      <c r="N89" s="40"/>
    </row>
    <row r="90" spans="1:14" ht="14.25" customHeight="1">
      <c r="A90" s="29">
        <f t="shared" si="3"/>
        <v>1.7</v>
      </c>
      <c r="B90" s="201">
        <v>1.7</v>
      </c>
      <c r="C90" s="202">
        <v>158</v>
      </c>
      <c r="D90" s="201" t="s">
        <v>365</v>
      </c>
      <c r="E90" s="201" t="s">
        <v>111</v>
      </c>
      <c r="F90" s="122" t="s">
        <v>121</v>
      </c>
      <c r="G90" s="77" t="s">
        <v>313</v>
      </c>
      <c r="H90" s="77"/>
      <c r="I90" s="77" t="s">
        <v>313</v>
      </c>
      <c r="J90" s="77" t="s">
        <v>313</v>
      </c>
      <c r="K90" s="77"/>
      <c r="L90" s="77"/>
      <c r="M90" s="77"/>
      <c r="N90" s="40"/>
    </row>
    <row r="91" spans="1:14" ht="14.25" customHeight="1">
      <c r="A91" s="29">
        <f t="shared" si="3"/>
        <v>1.7</v>
      </c>
      <c r="B91" s="211">
        <v>1.7</v>
      </c>
      <c r="C91" s="212">
        <v>148</v>
      </c>
      <c r="D91" s="211" t="s">
        <v>365</v>
      </c>
      <c r="E91" s="211" t="s">
        <v>111</v>
      </c>
      <c r="F91" s="173" t="s">
        <v>40</v>
      </c>
      <c r="G91" s="77"/>
      <c r="H91" s="77"/>
      <c r="I91" s="77" t="s">
        <v>313</v>
      </c>
      <c r="J91" s="77" t="s">
        <v>313</v>
      </c>
      <c r="K91" s="77"/>
      <c r="L91" s="77"/>
      <c r="M91" s="77"/>
      <c r="N91" s="40"/>
    </row>
    <row r="92" spans="1:14" ht="14.25" customHeight="1">
      <c r="A92" s="29">
        <f t="shared" si="3"/>
        <v>1.7</v>
      </c>
      <c r="B92" s="201">
        <v>1.7</v>
      </c>
      <c r="C92" s="202">
        <v>118</v>
      </c>
      <c r="D92" s="201" t="s">
        <v>365</v>
      </c>
      <c r="E92" s="201" t="s">
        <v>111</v>
      </c>
      <c r="F92" s="122" t="s">
        <v>136</v>
      </c>
      <c r="G92" s="77" t="s">
        <v>313</v>
      </c>
      <c r="H92" s="77"/>
      <c r="I92" s="77" t="s">
        <v>313</v>
      </c>
      <c r="J92" s="77" t="s">
        <v>313</v>
      </c>
      <c r="K92" s="77" t="s">
        <v>313</v>
      </c>
      <c r="L92" s="77"/>
      <c r="M92" s="77"/>
      <c r="N92" s="40"/>
    </row>
    <row r="93" spans="1:14" ht="14.25" customHeight="1">
      <c r="A93" s="29">
        <f t="shared" si="3"/>
        <v>1.7</v>
      </c>
      <c r="B93" s="201">
        <v>1.7</v>
      </c>
      <c r="C93" s="202">
        <v>119</v>
      </c>
      <c r="D93" s="201" t="s">
        <v>365</v>
      </c>
      <c r="E93" s="201" t="s">
        <v>111</v>
      </c>
      <c r="F93" s="122" t="s">
        <v>137</v>
      </c>
      <c r="G93" s="77" t="s">
        <v>313</v>
      </c>
      <c r="H93" s="77"/>
      <c r="I93" s="77" t="s">
        <v>313</v>
      </c>
      <c r="J93" s="77" t="s">
        <v>313</v>
      </c>
      <c r="K93" s="77"/>
      <c r="L93" s="77"/>
      <c r="M93" s="77"/>
      <c r="N93" s="40"/>
    </row>
    <row r="94" spans="1:14" ht="14.25" customHeight="1">
      <c r="A94" s="29">
        <f t="shared" si="3"/>
        <v>1.7</v>
      </c>
      <c r="B94" s="211">
        <v>1.7</v>
      </c>
      <c r="C94" s="212">
        <v>100</v>
      </c>
      <c r="D94" s="211" t="s">
        <v>365</v>
      </c>
      <c r="E94" s="211" t="s">
        <v>111</v>
      </c>
      <c r="F94" s="173" t="s">
        <v>125</v>
      </c>
      <c r="G94" s="77" t="s">
        <v>313</v>
      </c>
      <c r="H94" s="77"/>
      <c r="I94" s="77" t="s">
        <v>313</v>
      </c>
      <c r="J94" s="77" t="s">
        <v>313</v>
      </c>
      <c r="K94" s="77"/>
      <c r="L94" s="77"/>
      <c r="M94" s="77"/>
      <c r="N94" s="40"/>
    </row>
    <row r="95" spans="1:14" ht="14.25" customHeight="1">
      <c r="A95" s="29">
        <f t="shared" si="3"/>
        <v>1.7</v>
      </c>
      <c r="B95" s="201">
        <v>1.7</v>
      </c>
      <c r="C95" s="202">
        <v>162</v>
      </c>
      <c r="D95" s="201" t="s">
        <v>365</v>
      </c>
      <c r="E95" s="201" t="s">
        <v>111</v>
      </c>
      <c r="F95" s="122" t="s">
        <v>361</v>
      </c>
      <c r="G95" s="77" t="s">
        <v>313</v>
      </c>
      <c r="H95" s="77"/>
      <c r="I95" s="77" t="s">
        <v>313</v>
      </c>
      <c r="J95" s="77" t="s">
        <v>313</v>
      </c>
      <c r="K95" s="77"/>
      <c r="L95" s="77"/>
      <c r="M95" s="77"/>
      <c r="N95" s="40"/>
    </row>
    <row r="96" spans="1:14" ht="14.25" customHeight="1">
      <c r="A96" s="29">
        <f t="shared" si="3"/>
        <v>1.7</v>
      </c>
      <c r="B96" s="201">
        <v>1.7</v>
      </c>
      <c r="C96" s="202">
        <v>130</v>
      </c>
      <c r="D96" s="201" t="s">
        <v>365</v>
      </c>
      <c r="E96" s="201" t="s">
        <v>111</v>
      </c>
      <c r="F96" s="122" t="s">
        <v>352</v>
      </c>
      <c r="G96" s="77" t="s">
        <v>313</v>
      </c>
      <c r="H96" s="77"/>
      <c r="I96" s="77" t="s">
        <v>313</v>
      </c>
      <c r="J96" s="77" t="s">
        <v>313</v>
      </c>
      <c r="K96" s="77" t="s">
        <v>313</v>
      </c>
      <c r="L96" s="77"/>
      <c r="M96" s="77"/>
      <c r="N96" s="40"/>
    </row>
    <row r="97" spans="1:14" ht="14.25" customHeight="1">
      <c r="A97" s="29">
        <f t="shared" si="3"/>
        <v>1.7</v>
      </c>
      <c r="B97" s="201">
        <v>1.7</v>
      </c>
      <c r="C97" s="202">
        <v>157</v>
      </c>
      <c r="D97" s="201" t="s">
        <v>365</v>
      </c>
      <c r="E97" s="201" t="s">
        <v>111</v>
      </c>
      <c r="F97" s="122" t="s">
        <v>359</v>
      </c>
      <c r="G97" s="77" t="s">
        <v>313</v>
      </c>
      <c r="H97" s="77"/>
      <c r="I97" s="77"/>
      <c r="J97" s="77" t="s">
        <v>313</v>
      </c>
      <c r="K97" s="77"/>
      <c r="L97" s="77"/>
      <c r="M97" s="77"/>
      <c r="N97" s="40"/>
    </row>
    <row r="98" spans="1:14" ht="14.25" customHeight="1">
      <c r="A98" s="29">
        <f t="shared" si="3"/>
        <v>1.7</v>
      </c>
      <c r="B98" s="201">
        <v>1.7</v>
      </c>
      <c r="C98" s="202">
        <v>151</v>
      </c>
      <c r="D98" s="201" t="s">
        <v>365</v>
      </c>
      <c r="E98" s="201" t="s">
        <v>111</v>
      </c>
      <c r="F98" s="122" t="s">
        <v>167</v>
      </c>
      <c r="G98" s="77"/>
      <c r="H98" s="77"/>
      <c r="I98" s="77" t="s">
        <v>313</v>
      </c>
      <c r="J98" s="77" t="s">
        <v>313</v>
      </c>
      <c r="K98" s="77"/>
      <c r="L98" s="77"/>
      <c r="M98" s="77"/>
      <c r="N98" s="40"/>
    </row>
    <row r="99" spans="1:14" ht="14.25" customHeight="1">
      <c r="A99" s="29">
        <f t="shared" si="3"/>
        <v>1.15</v>
      </c>
      <c r="B99" s="201">
        <v>1.15</v>
      </c>
      <c r="C99" s="202">
        <v>15</v>
      </c>
      <c r="D99" s="201" t="s">
        <v>397</v>
      </c>
      <c r="E99" s="201" t="s">
        <v>111</v>
      </c>
      <c r="F99" s="122" t="s">
        <v>114</v>
      </c>
      <c r="G99" s="77" t="s">
        <v>313</v>
      </c>
      <c r="H99" s="77"/>
      <c r="I99" s="77" t="s">
        <v>313</v>
      </c>
      <c r="J99" s="77" t="s">
        <v>313</v>
      </c>
      <c r="K99" s="77"/>
      <c r="L99" s="77"/>
      <c r="M99" s="77"/>
      <c r="N99" s="40"/>
    </row>
    <row r="100" spans="1:14" ht="14.25" customHeight="1">
      <c r="A100" s="29">
        <f t="shared" si="3"/>
        <v>1.15</v>
      </c>
      <c r="B100" s="201">
        <v>1.15</v>
      </c>
      <c r="C100" s="202">
        <v>14</v>
      </c>
      <c r="D100" s="201" t="s">
        <v>397</v>
      </c>
      <c r="E100" s="201" t="s">
        <v>111</v>
      </c>
      <c r="F100" s="122" t="s">
        <v>263</v>
      </c>
      <c r="G100" s="77" t="s">
        <v>313</v>
      </c>
      <c r="H100" s="77"/>
      <c r="I100" s="77" t="s">
        <v>313</v>
      </c>
      <c r="J100" s="77" t="s">
        <v>313</v>
      </c>
      <c r="K100" s="77"/>
      <c r="L100" s="77"/>
      <c r="M100" s="77"/>
      <c r="N100" s="40"/>
    </row>
    <row r="101" spans="1:14" ht="14.25" customHeight="1">
      <c r="A101" s="29">
        <f t="shared" si="3"/>
        <v>1.15</v>
      </c>
      <c r="B101" s="201">
        <v>1.15</v>
      </c>
      <c r="C101" s="202">
        <v>124</v>
      </c>
      <c r="D101" s="201" t="s">
        <v>397</v>
      </c>
      <c r="E101" s="201" t="s">
        <v>111</v>
      </c>
      <c r="F101" s="122" t="s">
        <v>116</v>
      </c>
      <c r="G101" s="77" t="s">
        <v>313</v>
      </c>
      <c r="H101" s="77"/>
      <c r="I101" s="77" t="s">
        <v>313</v>
      </c>
      <c r="J101" s="77" t="s">
        <v>313</v>
      </c>
      <c r="K101" s="77"/>
      <c r="L101" s="77"/>
      <c r="M101" s="77"/>
      <c r="N101" s="40"/>
    </row>
    <row r="102" spans="1:14" ht="14.25" customHeight="1">
      <c r="A102" s="29">
        <f t="shared" si="3"/>
        <v>1.15</v>
      </c>
      <c r="B102" s="201">
        <v>1.15</v>
      </c>
      <c r="C102" s="202">
        <v>205</v>
      </c>
      <c r="D102" s="201" t="s">
        <v>397</v>
      </c>
      <c r="E102" s="201" t="s">
        <v>111</v>
      </c>
      <c r="F102" s="122" t="s">
        <v>117</v>
      </c>
      <c r="G102" s="77" t="s">
        <v>313</v>
      </c>
      <c r="H102" s="77"/>
      <c r="I102" s="77" t="s">
        <v>313</v>
      </c>
      <c r="J102" s="77" t="s">
        <v>313</v>
      </c>
      <c r="K102" s="77"/>
      <c r="L102" s="77"/>
      <c r="M102" s="77"/>
      <c r="N102" s="40"/>
    </row>
    <row r="103" spans="1:14" ht="14.25" customHeight="1">
      <c r="A103" s="29">
        <f t="shared" si="3"/>
        <v>1.15</v>
      </c>
      <c r="B103" s="201">
        <v>1.15</v>
      </c>
      <c r="C103" s="202">
        <v>203</v>
      </c>
      <c r="D103" s="201" t="s">
        <v>397</v>
      </c>
      <c r="E103" s="201" t="s">
        <v>111</v>
      </c>
      <c r="F103" s="122" t="s">
        <v>119</v>
      </c>
      <c r="G103" s="77" t="s">
        <v>313</v>
      </c>
      <c r="H103" s="77"/>
      <c r="I103" s="77" t="s">
        <v>313</v>
      </c>
      <c r="J103" s="77"/>
      <c r="K103" s="77"/>
      <c r="L103" s="77"/>
      <c r="M103" s="77"/>
      <c r="N103" s="40"/>
    </row>
    <row r="104" spans="1:14" ht="14.25" customHeight="1">
      <c r="A104" s="29">
        <f t="shared" si="3"/>
        <v>1.15</v>
      </c>
      <c r="B104" s="201">
        <v>1.15</v>
      </c>
      <c r="C104" s="202">
        <v>5</v>
      </c>
      <c r="D104" s="201" t="s">
        <v>397</v>
      </c>
      <c r="E104" s="201" t="s">
        <v>111</v>
      </c>
      <c r="F104" s="122" t="s">
        <v>120</v>
      </c>
      <c r="G104" s="77" t="s">
        <v>313</v>
      </c>
      <c r="H104" s="77"/>
      <c r="I104" s="77" t="s">
        <v>313</v>
      </c>
      <c r="J104" s="77" t="s">
        <v>313</v>
      </c>
      <c r="K104" s="77" t="s">
        <v>313</v>
      </c>
      <c r="L104" s="77"/>
      <c r="M104" s="77"/>
      <c r="N104" s="40"/>
    </row>
    <row r="105" spans="2:14" ht="14.25" customHeight="1">
      <c r="B105" s="201">
        <v>1.15</v>
      </c>
      <c r="C105" s="202">
        <v>12</v>
      </c>
      <c r="D105" s="201" t="s">
        <v>397</v>
      </c>
      <c r="E105" s="201" t="s">
        <v>111</v>
      </c>
      <c r="F105" s="122" t="s">
        <v>264</v>
      </c>
      <c r="G105" s="77" t="s">
        <v>313</v>
      </c>
      <c r="H105" s="77"/>
      <c r="I105" s="77" t="s">
        <v>313</v>
      </c>
      <c r="J105" s="77" t="s">
        <v>313</v>
      </c>
      <c r="K105" s="77"/>
      <c r="L105" s="77"/>
      <c r="M105" s="77"/>
      <c r="N105" s="40"/>
    </row>
    <row r="106" spans="1:14" ht="14.25" customHeight="1">
      <c r="A106" s="29">
        <f t="shared" si="3"/>
        <v>1.15</v>
      </c>
      <c r="B106" s="211">
        <v>1.15</v>
      </c>
      <c r="C106" s="212">
        <v>224</v>
      </c>
      <c r="D106" s="211" t="s">
        <v>397</v>
      </c>
      <c r="E106" s="211" t="s">
        <v>111</v>
      </c>
      <c r="F106" s="173" t="s">
        <v>16</v>
      </c>
      <c r="G106" s="77" t="s">
        <v>313</v>
      </c>
      <c r="H106" s="77"/>
      <c r="I106" s="77" t="s">
        <v>313</v>
      </c>
      <c r="J106" s="77" t="s">
        <v>313</v>
      </c>
      <c r="K106" s="77"/>
      <c r="L106" s="77"/>
      <c r="M106" s="77"/>
      <c r="N106" s="40"/>
    </row>
    <row r="107" spans="1:14" ht="14.25" customHeight="1">
      <c r="A107" s="29">
        <f t="shared" si="3"/>
        <v>1.15</v>
      </c>
      <c r="B107" s="201">
        <v>1.15</v>
      </c>
      <c r="C107" s="202">
        <v>4</v>
      </c>
      <c r="D107" s="201" t="s">
        <v>277</v>
      </c>
      <c r="E107" s="201" t="s">
        <v>111</v>
      </c>
      <c r="F107" s="122" t="s">
        <v>182</v>
      </c>
      <c r="G107" s="77" t="s">
        <v>313</v>
      </c>
      <c r="H107" s="77"/>
      <c r="I107" s="77" t="s">
        <v>313</v>
      </c>
      <c r="J107" s="77" t="s">
        <v>313</v>
      </c>
      <c r="K107" s="77"/>
      <c r="L107" s="77"/>
      <c r="M107" s="77"/>
      <c r="N107" s="40"/>
    </row>
    <row r="108" spans="2:14" ht="14.25" customHeight="1">
      <c r="B108" s="201">
        <v>1.15</v>
      </c>
      <c r="C108" s="202">
        <v>10</v>
      </c>
      <c r="D108" s="201" t="s">
        <v>397</v>
      </c>
      <c r="E108" s="201" t="s">
        <v>111</v>
      </c>
      <c r="F108" s="122" t="s">
        <v>265</v>
      </c>
      <c r="G108" s="77" t="s">
        <v>313</v>
      </c>
      <c r="H108" s="77"/>
      <c r="I108" s="77" t="s">
        <v>313</v>
      </c>
      <c r="J108" s="77" t="s">
        <v>313</v>
      </c>
      <c r="K108" s="77"/>
      <c r="L108" s="77"/>
      <c r="M108" s="77"/>
      <c r="N108" s="40"/>
    </row>
    <row r="109" spans="1:14" ht="14.25" customHeight="1">
      <c r="A109" s="29">
        <f t="shared" si="3"/>
        <v>1.15</v>
      </c>
      <c r="B109" s="201">
        <v>1.15</v>
      </c>
      <c r="C109" s="202">
        <v>11</v>
      </c>
      <c r="D109" s="201" t="s">
        <v>397</v>
      </c>
      <c r="E109" s="201" t="s">
        <v>111</v>
      </c>
      <c r="F109" s="122" t="s">
        <v>166</v>
      </c>
      <c r="G109" s="77" t="s">
        <v>313</v>
      </c>
      <c r="H109" s="77"/>
      <c r="I109" s="77" t="s">
        <v>313</v>
      </c>
      <c r="J109" s="77" t="s">
        <v>313</v>
      </c>
      <c r="K109" s="77"/>
      <c r="L109" s="77"/>
      <c r="M109" s="77"/>
      <c r="N109" s="40"/>
    </row>
    <row r="110" spans="1:14" ht="14.25" customHeight="1">
      <c r="A110" s="29">
        <f aca="true" t="shared" si="4" ref="A110:A123">B110</f>
        <v>1.7</v>
      </c>
      <c r="B110" s="201">
        <v>1.7</v>
      </c>
      <c r="C110" s="202">
        <v>11</v>
      </c>
      <c r="D110" s="201" t="s">
        <v>365</v>
      </c>
      <c r="E110" s="201" t="s">
        <v>111</v>
      </c>
      <c r="F110" s="122" t="s">
        <v>113</v>
      </c>
      <c r="G110" s="77" t="s">
        <v>313</v>
      </c>
      <c r="H110" s="77"/>
      <c r="I110" s="77" t="s">
        <v>313</v>
      </c>
      <c r="J110" s="77" t="s">
        <v>313</v>
      </c>
      <c r="K110" s="77"/>
      <c r="L110" s="77"/>
      <c r="M110" s="77"/>
      <c r="N110" s="40"/>
    </row>
    <row r="111" spans="1:14" ht="14.25" customHeight="1">
      <c r="A111" s="29">
        <f t="shared" si="4"/>
        <v>1.7</v>
      </c>
      <c r="B111" s="201">
        <v>1.7</v>
      </c>
      <c r="C111" s="202">
        <v>8</v>
      </c>
      <c r="D111" s="201" t="s">
        <v>365</v>
      </c>
      <c r="E111" s="201" t="s">
        <v>111</v>
      </c>
      <c r="F111" s="122" t="s">
        <v>115</v>
      </c>
      <c r="G111" s="77" t="s">
        <v>313</v>
      </c>
      <c r="H111" s="77"/>
      <c r="I111" s="77" t="s">
        <v>313</v>
      </c>
      <c r="J111" s="77" t="s">
        <v>313</v>
      </c>
      <c r="K111" s="77"/>
      <c r="L111" s="77"/>
      <c r="M111" s="77"/>
      <c r="N111" s="40"/>
    </row>
    <row r="112" spans="1:14" ht="14.25" customHeight="1">
      <c r="A112" s="29">
        <f t="shared" si="4"/>
        <v>1.7</v>
      </c>
      <c r="B112" s="201">
        <v>1.7</v>
      </c>
      <c r="C112" s="202">
        <v>47</v>
      </c>
      <c r="D112" s="201" t="s">
        <v>365</v>
      </c>
      <c r="E112" s="201" t="s">
        <v>111</v>
      </c>
      <c r="F112" s="122" t="s">
        <v>181</v>
      </c>
      <c r="G112" s="77"/>
      <c r="H112" s="77"/>
      <c r="I112" s="77" t="s">
        <v>313</v>
      </c>
      <c r="J112" s="77" t="s">
        <v>313</v>
      </c>
      <c r="K112" s="77"/>
      <c r="L112" s="77"/>
      <c r="M112" s="77"/>
      <c r="N112" s="40"/>
    </row>
    <row r="113" spans="1:14" ht="14.25" customHeight="1">
      <c r="A113" s="29">
        <f t="shared" si="4"/>
        <v>1.7</v>
      </c>
      <c r="B113" s="201">
        <v>1.7</v>
      </c>
      <c r="C113" s="202">
        <v>21</v>
      </c>
      <c r="D113" s="201" t="s">
        <v>365</v>
      </c>
      <c r="E113" s="201" t="s">
        <v>111</v>
      </c>
      <c r="F113" s="122" t="s">
        <v>331</v>
      </c>
      <c r="G113" s="77"/>
      <c r="H113" s="77"/>
      <c r="I113" s="77" t="s">
        <v>313</v>
      </c>
      <c r="J113" s="77" t="s">
        <v>313</v>
      </c>
      <c r="K113" s="77"/>
      <c r="L113" s="77"/>
      <c r="M113" s="77"/>
      <c r="N113" s="40"/>
    </row>
    <row r="114" spans="2:14" ht="14.25" customHeight="1">
      <c r="B114" s="211">
        <v>1.7</v>
      </c>
      <c r="C114" s="212">
        <v>167</v>
      </c>
      <c r="D114" s="211" t="s">
        <v>365</v>
      </c>
      <c r="E114" s="211" t="s">
        <v>111</v>
      </c>
      <c r="F114" s="199" t="s">
        <v>94</v>
      </c>
      <c r="G114" s="77"/>
      <c r="H114" s="77"/>
      <c r="I114" s="77"/>
      <c r="J114" s="77"/>
      <c r="K114" s="77"/>
      <c r="L114" s="77"/>
      <c r="M114" s="77"/>
      <c r="N114" s="40"/>
    </row>
    <row r="115" spans="1:14" ht="14.25" customHeight="1">
      <c r="A115" s="29">
        <f t="shared" si="4"/>
        <v>1.7</v>
      </c>
      <c r="B115" s="201">
        <v>1.7</v>
      </c>
      <c r="C115" s="202">
        <v>7</v>
      </c>
      <c r="D115" s="201" t="s">
        <v>365</v>
      </c>
      <c r="E115" s="201" t="s">
        <v>111</v>
      </c>
      <c r="F115" s="122" t="s">
        <v>18</v>
      </c>
      <c r="G115" s="77" t="s">
        <v>313</v>
      </c>
      <c r="H115" s="77"/>
      <c r="I115" s="77" t="s">
        <v>313</v>
      </c>
      <c r="J115" s="77" t="s">
        <v>313</v>
      </c>
      <c r="K115" s="77"/>
      <c r="L115" s="77"/>
      <c r="M115" s="77"/>
      <c r="N115" s="40"/>
    </row>
    <row r="116" spans="1:14" ht="14.25" customHeight="1">
      <c r="A116" s="29">
        <f t="shared" si="4"/>
        <v>1.7</v>
      </c>
      <c r="B116" s="201">
        <v>1.7</v>
      </c>
      <c r="C116" s="202">
        <v>10</v>
      </c>
      <c r="D116" s="201" t="s">
        <v>365</v>
      </c>
      <c r="E116" s="201" t="s">
        <v>111</v>
      </c>
      <c r="F116" s="122" t="s">
        <v>168</v>
      </c>
      <c r="G116" s="77" t="s">
        <v>313</v>
      </c>
      <c r="H116" s="77"/>
      <c r="I116" s="77" t="s">
        <v>313</v>
      </c>
      <c r="J116" s="77" t="s">
        <v>313</v>
      </c>
      <c r="K116" s="77"/>
      <c r="L116" s="77"/>
      <c r="M116" s="77"/>
      <c r="N116" s="40"/>
    </row>
    <row r="117" spans="1:14" ht="14.25" customHeight="1">
      <c r="A117" s="29">
        <f t="shared" si="4"/>
        <v>1.31</v>
      </c>
      <c r="B117" s="201">
        <v>1.31</v>
      </c>
      <c r="C117" s="202" t="s">
        <v>483</v>
      </c>
      <c r="D117" s="201" t="s">
        <v>217</v>
      </c>
      <c r="E117" s="201" t="s">
        <v>111</v>
      </c>
      <c r="F117" s="122" t="s">
        <v>109</v>
      </c>
      <c r="G117" s="77"/>
      <c r="H117" s="77"/>
      <c r="I117" s="77" t="s">
        <v>313</v>
      </c>
      <c r="J117" s="77" t="s">
        <v>313</v>
      </c>
      <c r="K117" s="77"/>
      <c r="L117" s="77"/>
      <c r="M117" s="77"/>
      <c r="N117" s="40"/>
    </row>
    <row r="118" spans="1:14" ht="14.25" customHeight="1">
      <c r="A118" s="29">
        <f t="shared" si="4"/>
        <v>1.31</v>
      </c>
      <c r="B118" s="201">
        <v>1.31</v>
      </c>
      <c r="C118" s="202" t="s">
        <v>482</v>
      </c>
      <c r="D118" s="201" t="s">
        <v>217</v>
      </c>
      <c r="E118" s="201" t="s">
        <v>111</v>
      </c>
      <c r="F118" s="122" t="s">
        <v>110</v>
      </c>
      <c r="G118" s="77" t="s">
        <v>313</v>
      </c>
      <c r="H118" s="77"/>
      <c r="I118" s="77" t="s">
        <v>313</v>
      </c>
      <c r="J118" s="77" t="s">
        <v>313</v>
      </c>
      <c r="K118" s="77"/>
      <c r="L118" s="77"/>
      <c r="M118" s="77"/>
      <c r="N118" s="40"/>
    </row>
    <row r="119" spans="1:14" ht="14.25" customHeight="1">
      <c r="A119" s="29">
        <f t="shared" si="4"/>
        <v>1.31</v>
      </c>
      <c r="B119" s="201">
        <v>1.31</v>
      </c>
      <c r="C119" s="202" t="s">
        <v>493</v>
      </c>
      <c r="D119" s="201" t="s">
        <v>217</v>
      </c>
      <c r="E119" s="201" t="s">
        <v>111</v>
      </c>
      <c r="F119" s="122" t="s">
        <v>290</v>
      </c>
      <c r="G119" s="77" t="s">
        <v>313</v>
      </c>
      <c r="H119" s="77"/>
      <c r="I119" s="77" t="s">
        <v>313</v>
      </c>
      <c r="J119" s="77" t="s">
        <v>313</v>
      </c>
      <c r="K119" s="77" t="s">
        <v>313</v>
      </c>
      <c r="L119" s="77"/>
      <c r="M119" s="77"/>
      <c r="N119" s="40"/>
    </row>
    <row r="120" spans="1:14" ht="14.25" customHeight="1">
      <c r="A120" s="29">
        <f t="shared" si="4"/>
        <v>1.31</v>
      </c>
      <c r="B120" s="201">
        <v>1.31</v>
      </c>
      <c r="C120" s="202" t="s">
        <v>484</v>
      </c>
      <c r="D120" s="201" t="s">
        <v>217</v>
      </c>
      <c r="E120" s="201" t="s">
        <v>111</v>
      </c>
      <c r="F120" s="122" t="s">
        <v>84</v>
      </c>
      <c r="G120" s="77" t="s">
        <v>313</v>
      </c>
      <c r="H120" s="77"/>
      <c r="I120" s="77" t="s">
        <v>313</v>
      </c>
      <c r="J120" s="77" t="s">
        <v>313</v>
      </c>
      <c r="K120" s="77"/>
      <c r="L120" s="77"/>
      <c r="M120" s="77"/>
      <c r="N120" s="40"/>
    </row>
    <row r="121" spans="1:14" ht="14.25" customHeight="1">
      <c r="A121" s="29">
        <f t="shared" si="4"/>
        <v>1.31</v>
      </c>
      <c r="B121" s="201">
        <v>1.31</v>
      </c>
      <c r="C121" s="202" t="s">
        <v>486</v>
      </c>
      <c r="D121" s="201" t="s">
        <v>217</v>
      </c>
      <c r="E121" s="201" t="s">
        <v>111</v>
      </c>
      <c r="F121" s="122" t="s">
        <v>165</v>
      </c>
      <c r="G121" s="77"/>
      <c r="H121" s="77"/>
      <c r="I121" s="77" t="s">
        <v>313</v>
      </c>
      <c r="J121" s="77" t="s">
        <v>313</v>
      </c>
      <c r="K121" s="77"/>
      <c r="L121" s="77"/>
      <c r="M121" s="77"/>
      <c r="N121" s="40"/>
    </row>
    <row r="122" spans="1:14" ht="14.25" customHeight="1">
      <c r="A122" s="29">
        <f t="shared" si="4"/>
        <v>1.31</v>
      </c>
      <c r="B122" s="201">
        <v>1.31</v>
      </c>
      <c r="C122" s="202" t="s">
        <v>492</v>
      </c>
      <c r="D122" s="201" t="s">
        <v>217</v>
      </c>
      <c r="E122" s="201" t="s">
        <v>111</v>
      </c>
      <c r="F122" s="122" t="s">
        <v>169</v>
      </c>
      <c r="G122" s="77"/>
      <c r="H122" s="77"/>
      <c r="I122" s="77" t="s">
        <v>313</v>
      </c>
      <c r="J122" s="77" t="s">
        <v>313</v>
      </c>
      <c r="K122" s="77"/>
      <c r="L122" s="77"/>
      <c r="M122" s="77"/>
      <c r="N122" s="40"/>
    </row>
    <row r="123" spans="1:14" ht="14.25" customHeight="1">
      <c r="A123" s="29">
        <f t="shared" si="4"/>
        <v>1.31</v>
      </c>
      <c r="B123" s="201">
        <v>1.31</v>
      </c>
      <c r="C123" s="202" t="s">
        <v>485</v>
      </c>
      <c r="D123" s="201" t="s">
        <v>217</v>
      </c>
      <c r="E123" s="201" t="s">
        <v>111</v>
      </c>
      <c r="F123" s="122" t="s">
        <v>170</v>
      </c>
      <c r="G123" s="77" t="s">
        <v>313</v>
      </c>
      <c r="H123" s="77"/>
      <c r="I123" s="77" t="s">
        <v>313</v>
      </c>
      <c r="J123" s="77" t="s">
        <v>313</v>
      </c>
      <c r="K123" s="77"/>
      <c r="L123" s="77"/>
      <c r="M123" s="77"/>
      <c r="N123" s="40"/>
    </row>
    <row r="124" spans="1:17" s="14" customFormat="1" ht="0.75" customHeight="1">
      <c r="A124" s="26"/>
      <c r="B124" s="204"/>
      <c r="C124" s="206" t="s">
        <v>321</v>
      </c>
      <c r="D124" s="206"/>
      <c r="E124" s="205"/>
      <c r="F124" s="127"/>
      <c r="G124" s="83"/>
      <c r="H124" s="83"/>
      <c r="I124" s="83"/>
      <c r="J124" s="84"/>
      <c r="K124" s="85"/>
      <c r="L124" s="86"/>
      <c r="M124" s="111"/>
      <c r="N124" s="41"/>
      <c r="O124" s="13"/>
      <c r="P124" s="13"/>
      <c r="Q124" s="2"/>
    </row>
    <row r="125" spans="1:14" ht="15" customHeight="1">
      <c r="A125" s="33"/>
      <c r="B125" s="207"/>
      <c r="C125" s="233" t="s">
        <v>309</v>
      </c>
      <c r="D125" s="234">
        <f>1!E12</f>
        <v>8</v>
      </c>
      <c r="E125" s="208" t="s">
        <v>172</v>
      </c>
      <c r="F125" s="133" t="s">
        <v>100</v>
      </c>
      <c r="G125" s="74"/>
      <c r="H125" s="75"/>
      <c r="I125" s="73"/>
      <c r="J125" s="73"/>
      <c r="K125" s="73"/>
      <c r="L125" s="81"/>
      <c r="M125" s="112"/>
      <c r="N125" s="41"/>
    </row>
    <row r="126" spans="1:14" ht="14.25" customHeight="1">
      <c r="A126" s="29">
        <f aca="true" t="shared" si="5" ref="A126:A133">B126</f>
        <v>1.7</v>
      </c>
      <c r="B126" s="201">
        <v>1.7</v>
      </c>
      <c r="C126" s="202">
        <v>99</v>
      </c>
      <c r="D126" s="201" t="s">
        <v>365</v>
      </c>
      <c r="E126" s="201" t="s">
        <v>172</v>
      </c>
      <c r="F126" s="122" t="s">
        <v>155</v>
      </c>
      <c r="G126" s="77"/>
      <c r="H126" s="77"/>
      <c r="I126" s="77" t="s">
        <v>313</v>
      </c>
      <c r="J126" s="77" t="s">
        <v>313</v>
      </c>
      <c r="K126" s="77"/>
      <c r="L126" s="77"/>
      <c r="M126" s="77"/>
      <c r="N126" s="40"/>
    </row>
    <row r="127" spans="2:14" ht="27.75" customHeight="1">
      <c r="B127" s="201">
        <v>1.7</v>
      </c>
      <c r="C127" s="202">
        <v>92</v>
      </c>
      <c r="D127" s="201" t="s">
        <v>365</v>
      </c>
      <c r="E127" s="201" t="s">
        <v>172</v>
      </c>
      <c r="F127" s="122" t="s">
        <v>707</v>
      </c>
      <c r="G127" s="77" t="s">
        <v>313</v>
      </c>
      <c r="H127" s="77"/>
      <c r="I127" s="77" t="s">
        <v>313</v>
      </c>
      <c r="J127" s="77" t="s">
        <v>313</v>
      </c>
      <c r="K127" s="77" t="s">
        <v>313</v>
      </c>
      <c r="L127" s="77"/>
      <c r="M127" s="77"/>
      <c r="N127" s="40"/>
    </row>
    <row r="128" spans="1:14" ht="14.25" customHeight="1">
      <c r="A128" s="29">
        <f t="shared" si="5"/>
        <v>1.7</v>
      </c>
      <c r="B128" s="201">
        <v>1.7</v>
      </c>
      <c r="C128" s="202">
        <v>150</v>
      </c>
      <c r="D128" s="201" t="s">
        <v>365</v>
      </c>
      <c r="E128" s="201" t="s">
        <v>172</v>
      </c>
      <c r="F128" s="122" t="s">
        <v>356</v>
      </c>
      <c r="G128" s="77"/>
      <c r="H128" s="77"/>
      <c r="I128" s="77"/>
      <c r="J128" s="77"/>
      <c r="K128" s="77"/>
      <c r="L128" s="77"/>
      <c r="M128" s="77"/>
      <c r="N128" s="40"/>
    </row>
    <row r="129" spans="1:17" s="20" customFormat="1" ht="14.25" customHeight="1">
      <c r="A129" s="29">
        <f t="shared" si="5"/>
        <v>1.7</v>
      </c>
      <c r="B129" s="201">
        <v>1.7</v>
      </c>
      <c r="C129" s="202">
        <v>154</v>
      </c>
      <c r="D129" s="201" t="s">
        <v>365</v>
      </c>
      <c r="E129" s="203" t="s">
        <v>172</v>
      </c>
      <c r="F129" s="118" t="s">
        <v>45</v>
      </c>
      <c r="G129" s="77"/>
      <c r="H129" s="77"/>
      <c r="I129" s="77" t="s">
        <v>313</v>
      </c>
      <c r="J129" s="77" t="s">
        <v>313</v>
      </c>
      <c r="K129" s="77"/>
      <c r="L129" s="77"/>
      <c r="M129" s="77"/>
      <c r="N129" s="40"/>
      <c r="O129" s="13"/>
      <c r="P129" s="1"/>
      <c r="Q129" s="2"/>
    </row>
    <row r="130" spans="1:14" ht="14.25" customHeight="1">
      <c r="A130" s="29">
        <f t="shared" si="5"/>
        <v>1.15</v>
      </c>
      <c r="B130" s="211">
        <v>1.15</v>
      </c>
      <c r="C130" s="212">
        <v>116</v>
      </c>
      <c r="D130" s="211" t="s">
        <v>397</v>
      </c>
      <c r="E130" s="211" t="s">
        <v>172</v>
      </c>
      <c r="F130" s="169" t="s">
        <v>102</v>
      </c>
      <c r="G130" s="77" t="s">
        <v>313</v>
      </c>
      <c r="H130" s="77"/>
      <c r="I130" s="77" t="s">
        <v>313</v>
      </c>
      <c r="J130" s="77" t="s">
        <v>313</v>
      </c>
      <c r="K130" s="77" t="s">
        <v>313</v>
      </c>
      <c r="L130" s="77"/>
      <c r="M130" s="77"/>
      <c r="N130" s="40"/>
    </row>
    <row r="131" spans="1:14" ht="14.25" customHeight="1">
      <c r="A131" s="29">
        <f t="shared" si="5"/>
        <v>1.15</v>
      </c>
      <c r="B131" s="201">
        <v>1.15</v>
      </c>
      <c r="C131" s="202">
        <v>40</v>
      </c>
      <c r="D131" s="201" t="s">
        <v>397</v>
      </c>
      <c r="E131" s="201" t="s">
        <v>172</v>
      </c>
      <c r="F131" s="118" t="s">
        <v>103</v>
      </c>
      <c r="G131" s="77" t="s">
        <v>313</v>
      </c>
      <c r="H131" s="77"/>
      <c r="I131" s="77" t="s">
        <v>313</v>
      </c>
      <c r="J131" s="77" t="s">
        <v>313</v>
      </c>
      <c r="K131" s="77"/>
      <c r="L131" s="77"/>
      <c r="M131" s="77"/>
      <c r="N131" s="40"/>
    </row>
    <row r="132" spans="1:14" ht="14.25" customHeight="1">
      <c r="A132" s="29">
        <f t="shared" si="5"/>
        <v>1.7</v>
      </c>
      <c r="B132" s="201">
        <v>1.7</v>
      </c>
      <c r="C132" s="202">
        <v>18</v>
      </c>
      <c r="D132" s="201" t="s">
        <v>365</v>
      </c>
      <c r="E132" s="201" t="s">
        <v>172</v>
      </c>
      <c r="F132" s="122" t="s">
        <v>147</v>
      </c>
      <c r="G132" s="77"/>
      <c r="H132" s="77"/>
      <c r="I132" s="77" t="s">
        <v>313</v>
      </c>
      <c r="J132" s="77" t="s">
        <v>313</v>
      </c>
      <c r="K132" s="77"/>
      <c r="L132" s="77"/>
      <c r="M132" s="77"/>
      <c r="N132" s="40"/>
    </row>
    <row r="133" spans="1:14" ht="14.25" customHeight="1">
      <c r="A133" s="29">
        <f t="shared" si="5"/>
        <v>1.31</v>
      </c>
      <c r="B133" s="201">
        <v>1.31</v>
      </c>
      <c r="C133" s="202" t="s">
        <v>479</v>
      </c>
      <c r="D133" s="201" t="s">
        <v>217</v>
      </c>
      <c r="E133" s="201" t="s">
        <v>172</v>
      </c>
      <c r="F133" s="122" t="s">
        <v>101</v>
      </c>
      <c r="G133" s="77" t="s">
        <v>313</v>
      </c>
      <c r="H133" s="77"/>
      <c r="I133" s="77" t="s">
        <v>313</v>
      </c>
      <c r="J133" s="77" t="s">
        <v>313</v>
      </c>
      <c r="K133" s="77"/>
      <c r="L133" s="77"/>
      <c r="M133" s="77"/>
      <c r="N133" s="40"/>
    </row>
    <row r="134" spans="1:17" s="14" customFormat="1" ht="0" customHeight="1" hidden="1">
      <c r="A134" s="26"/>
      <c r="B134" s="221"/>
      <c r="C134" s="222" t="s">
        <v>321</v>
      </c>
      <c r="D134" s="222"/>
      <c r="E134" s="223"/>
      <c r="F134" s="152"/>
      <c r="G134" s="153"/>
      <c r="H134" s="153"/>
      <c r="I134" s="153"/>
      <c r="J134" s="154"/>
      <c r="K134" s="85"/>
      <c r="L134" s="86"/>
      <c r="M134" s="111"/>
      <c r="N134" s="41"/>
      <c r="O134" s="13"/>
      <c r="P134" s="13"/>
      <c r="Q134" s="2"/>
    </row>
    <row r="135" spans="1:14" ht="15" customHeight="1">
      <c r="A135" s="33"/>
      <c r="B135" s="207"/>
      <c r="C135" s="233" t="s">
        <v>309</v>
      </c>
      <c r="D135" s="234">
        <f>1!E13</f>
        <v>20</v>
      </c>
      <c r="E135" s="208" t="s">
        <v>46</v>
      </c>
      <c r="F135" s="133" t="s">
        <v>47</v>
      </c>
      <c r="G135" s="74"/>
      <c r="H135" s="75"/>
      <c r="I135" s="73"/>
      <c r="J135" s="73"/>
      <c r="K135" s="73"/>
      <c r="L135" s="81"/>
      <c r="M135" s="112"/>
      <c r="N135" s="41"/>
    </row>
    <row r="136" spans="1:14" ht="14.25" customHeight="1">
      <c r="A136" s="29">
        <f aca="true" t="shared" si="6" ref="A136:A155">B136</f>
        <v>1.7</v>
      </c>
      <c r="B136" s="201">
        <v>1.7</v>
      </c>
      <c r="C136" s="202">
        <v>96</v>
      </c>
      <c r="D136" s="201" t="s">
        <v>365</v>
      </c>
      <c r="E136" s="201" t="s">
        <v>46</v>
      </c>
      <c r="F136" s="122" t="s">
        <v>48</v>
      </c>
      <c r="G136" s="77" t="s">
        <v>313</v>
      </c>
      <c r="H136" s="77"/>
      <c r="I136" s="77" t="s">
        <v>313</v>
      </c>
      <c r="J136" s="77" t="s">
        <v>313</v>
      </c>
      <c r="K136" s="77"/>
      <c r="L136" s="77"/>
      <c r="M136" s="77"/>
      <c r="N136" s="40"/>
    </row>
    <row r="137" spans="1:14" ht="14.25" customHeight="1">
      <c r="A137" s="29">
        <f t="shared" si="6"/>
        <v>1.7</v>
      </c>
      <c r="B137" s="201">
        <v>1.7</v>
      </c>
      <c r="C137" s="202">
        <v>149</v>
      </c>
      <c r="D137" s="201" t="s">
        <v>365</v>
      </c>
      <c r="E137" s="201" t="s">
        <v>46</v>
      </c>
      <c r="F137" s="122" t="s">
        <v>49</v>
      </c>
      <c r="G137" s="77"/>
      <c r="H137" s="77"/>
      <c r="I137" s="77" t="s">
        <v>313</v>
      </c>
      <c r="J137" s="77" t="s">
        <v>313</v>
      </c>
      <c r="K137" s="77"/>
      <c r="L137" s="77"/>
      <c r="M137" s="77"/>
      <c r="N137" s="40"/>
    </row>
    <row r="138" spans="1:14" ht="14.25" customHeight="1">
      <c r="A138" s="29">
        <f t="shared" si="6"/>
        <v>1.7</v>
      </c>
      <c r="B138" s="211">
        <v>1.7</v>
      </c>
      <c r="C138" s="212">
        <v>142</v>
      </c>
      <c r="D138" s="211" t="s">
        <v>365</v>
      </c>
      <c r="E138" s="211" t="s">
        <v>46</v>
      </c>
      <c r="F138" s="173" t="s">
        <v>51</v>
      </c>
      <c r="G138" s="77" t="s">
        <v>313</v>
      </c>
      <c r="H138" s="77"/>
      <c r="I138" s="77" t="s">
        <v>313</v>
      </c>
      <c r="J138" s="77" t="s">
        <v>313</v>
      </c>
      <c r="K138" s="77"/>
      <c r="L138" s="77"/>
      <c r="M138" s="77"/>
      <c r="N138" s="40"/>
    </row>
    <row r="139" spans="1:14" ht="14.25" customHeight="1">
      <c r="A139" s="29">
        <f t="shared" si="6"/>
        <v>1.7</v>
      </c>
      <c r="B139" s="201">
        <v>1.7</v>
      </c>
      <c r="C139" s="202">
        <v>132</v>
      </c>
      <c r="D139" s="201" t="s">
        <v>365</v>
      </c>
      <c r="E139" s="201" t="s">
        <v>46</v>
      </c>
      <c r="F139" s="122" t="s">
        <v>54</v>
      </c>
      <c r="G139" s="77" t="s">
        <v>313</v>
      </c>
      <c r="H139" s="77"/>
      <c r="I139" s="77" t="s">
        <v>313</v>
      </c>
      <c r="J139" s="77" t="s">
        <v>313</v>
      </c>
      <c r="K139" s="77"/>
      <c r="L139" s="77"/>
      <c r="M139" s="77"/>
      <c r="N139" s="40"/>
    </row>
    <row r="140" spans="1:14" ht="14.25" customHeight="1">
      <c r="A140" s="29">
        <f t="shared" si="6"/>
        <v>1.7</v>
      </c>
      <c r="B140" s="211">
        <v>1.7</v>
      </c>
      <c r="C140" s="212">
        <v>140</v>
      </c>
      <c r="D140" s="211" t="s">
        <v>365</v>
      </c>
      <c r="E140" s="211" t="s">
        <v>46</v>
      </c>
      <c r="F140" s="173" t="s">
        <v>354</v>
      </c>
      <c r="G140" s="77" t="s">
        <v>313</v>
      </c>
      <c r="H140" s="77"/>
      <c r="I140" s="77" t="s">
        <v>313</v>
      </c>
      <c r="J140" s="77" t="s">
        <v>313</v>
      </c>
      <c r="K140" s="77"/>
      <c r="L140" s="77"/>
      <c r="M140" s="77"/>
      <c r="N140" s="40"/>
    </row>
    <row r="141" spans="1:14" ht="14.25" customHeight="1">
      <c r="A141" s="29">
        <f t="shared" si="6"/>
        <v>1.7</v>
      </c>
      <c r="B141" s="201">
        <v>1.7</v>
      </c>
      <c r="C141" s="202">
        <v>129</v>
      </c>
      <c r="D141" s="201" t="s">
        <v>365</v>
      </c>
      <c r="E141" s="201" t="s">
        <v>46</v>
      </c>
      <c r="F141" s="122" t="s">
        <v>351</v>
      </c>
      <c r="G141" s="77" t="s">
        <v>313</v>
      </c>
      <c r="H141" s="77"/>
      <c r="I141" s="77" t="s">
        <v>313</v>
      </c>
      <c r="J141" s="77" t="s">
        <v>313</v>
      </c>
      <c r="K141" s="77"/>
      <c r="L141" s="77"/>
      <c r="M141" s="77"/>
      <c r="N141" s="40"/>
    </row>
    <row r="142" spans="1:14" ht="14.25" customHeight="1">
      <c r="A142" s="29">
        <f t="shared" si="6"/>
        <v>1.7</v>
      </c>
      <c r="B142" s="211">
        <v>1.7</v>
      </c>
      <c r="C142" s="212">
        <v>131</v>
      </c>
      <c r="D142" s="211" t="s">
        <v>365</v>
      </c>
      <c r="E142" s="211" t="s">
        <v>46</v>
      </c>
      <c r="F142" s="173" t="s">
        <v>701</v>
      </c>
      <c r="G142" s="77" t="s">
        <v>313</v>
      </c>
      <c r="H142" s="77"/>
      <c r="I142" s="77" t="s">
        <v>313</v>
      </c>
      <c r="J142" s="77" t="s">
        <v>313</v>
      </c>
      <c r="K142" s="77"/>
      <c r="L142" s="77"/>
      <c r="M142" s="77"/>
      <c r="N142" s="40"/>
    </row>
    <row r="143" spans="1:14" ht="14.25" customHeight="1">
      <c r="A143" s="29">
        <f t="shared" si="6"/>
        <v>1.7</v>
      </c>
      <c r="B143" s="211">
        <v>1.7</v>
      </c>
      <c r="C143" s="212">
        <v>107</v>
      </c>
      <c r="D143" s="211" t="s">
        <v>365</v>
      </c>
      <c r="E143" s="211" t="s">
        <v>46</v>
      </c>
      <c r="F143" s="173" t="s">
        <v>126</v>
      </c>
      <c r="G143" s="77" t="s">
        <v>313</v>
      </c>
      <c r="H143" s="77"/>
      <c r="I143" s="77" t="s">
        <v>313</v>
      </c>
      <c r="J143" s="77" t="s">
        <v>313</v>
      </c>
      <c r="K143" s="77"/>
      <c r="L143" s="77"/>
      <c r="M143" s="77"/>
      <c r="N143" s="40"/>
    </row>
    <row r="144" spans="1:14" ht="14.25" customHeight="1">
      <c r="A144" s="29">
        <f t="shared" si="6"/>
        <v>1.7</v>
      </c>
      <c r="B144" s="201">
        <v>1.7</v>
      </c>
      <c r="C144" s="202">
        <v>98</v>
      </c>
      <c r="D144" s="201" t="s">
        <v>365</v>
      </c>
      <c r="E144" s="201" t="s">
        <v>46</v>
      </c>
      <c r="F144" s="122" t="s">
        <v>81</v>
      </c>
      <c r="G144" s="77"/>
      <c r="H144" s="77"/>
      <c r="I144" s="77" t="s">
        <v>313</v>
      </c>
      <c r="J144" s="77" t="s">
        <v>313</v>
      </c>
      <c r="K144" s="77"/>
      <c r="L144" s="77"/>
      <c r="M144" s="77"/>
      <c r="N144" s="40"/>
    </row>
    <row r="145" spans="1:14" ht="14.25" customHeight="1">
      <c r="A145" s="29">
        <f t="shared" si="6"/>
        <v>1.7</v>
      </c>
      <c r="B145" s="211">
        <v>1.7</v>
      </c>
      <c r="C145" s="212">
        <v>125</v>
      </c>
      <c r="D145" s="211" t="s">
        <v>365</v>
      </c>
      <c r="E145" s="211" t="s">
        <v>46</v>
      </c>
      <c r="F145" s="173" t="s">
        <v>348</v>
      </c>
      <c r="G145" s="77" t="s">
        <v>313</v>
      </c>
      <c r="H145" s="77"/>
      <c r="I145" s="77" t="s">
        <v>313</v>
      </c>
      <c r="J145" s="77" t="s">
        <v>313</v>
      </c>
      <c r="K145" s="77"/>
      <c r="L145" s="77"/>
      <c r="M145" s="77"/>
      <c r="N145" s="40"/>
    </row>
    <row r="146" spans="1:14" ht="14.25" customHeight="1">
      <c r="A146" s="29">
        <f t="shared" si="6"/>
        <v>1.7</v>
      </c>
      <c r="B146" s="201">
        <v>1.7</v>
      </c>
      <c r="C146" s="202">
        <v>141</v>
      </c>
      <c r="D146" s="201" t="s">
        <v>365</v>
      </c>
      <c r="E146" s="201" t="s">
        <v>46</v>
      </c>
      <c r="F146" s="122" t="s">
        <v>150</v>
      </c>
      <c r="G146" s="77" t="s">
        <v>313</v>
      </c>
      <c r="H146" s="77"/>
      <c r="I146" s="77" t="s">
        <v>313</v>
      </c>
      <c r="J146" s="77" t="s">
        <v>313</v>
      </c>
      <c r="K146" s="77"/>
      <c r="L146" s="77"/>
      <c r="M146" s="77"/>
      <c r="N146" s="40"/>
    </row>
    <row r="147" spans="1:14" ht="14.25" customHeight="1">
      <c r="A147" s="29">
        <f t="shared" si="6"/>
        <v>1.15</v>
      </c>
      <c r="B147" s="201">
        <v>1.15</v>
      </c>
      <c r="C147" s="202">
        <v>7</v>
      </c>
      <c r="D147" s="201" t="s">
        <v>397</v>
      </c>
      <c r="E147" s="201" t="s">
        <v>46</v>
      </c>
      <c r="F147" s="118" t="s">
        <v>50</v>
      </c>
      <c r="G147" s="77"/>
      <c r="H147" s="77"/>
      <c r="I147" s="77" t="s">
        <v>313</v>
      </c>
      <c r="J147" s="77" t="s">
        <v>313</v>
      </c>
      <c r="K147" s="77"/>
      <c r="L147" s="77"/>
      <c r="M147" s="77"/>
      <c r="N147" s="40"/>
    </row>
    <row r="148" spans="1:14" ht="14.25" customHeight="1">
      <c r="A148" s="29">
        <f t="shared" si="6"/>
        <v>1.15</v>
      </c>
      <c r="B148" s="201">
        <v>1.15</v>
      </c>
      <c r="C148" s="202">
        <v>8</v>
      </c>
      <c r="D148" s="201" t="s">
        <v>397</v>
      </c>
      <c r="E148" s="201" t="s">
        <v>46</v>
      </c>
      <c r="F148" s="118" t="s">
        <v>52</v>
      </c>
      <c r="G148" s="77"/>
      <c r="H148" s="77"/>
      <c r="I148" s="77" t="s">
        <v>313</v>
      </c>
      <c r="J148" s="77" t="s">
        <v>313</v>
      </c>
      <c r="K148" s="77"/>
      <c r="L148" s="77"/>
      <c r="M148" s="77"/>
      <c r="N148" s="40"/>
    </row>
    <row r="149" spans="1:14" ht="14.25" customHeight="1">
      <c r="A149" s="29">
        <f t="shared" si="6"/>
        <v>1.15</v>
      </c>
      <c r="B149" s="201">
        <v>1.15</v>
      </c>
      <c r="C149" s="202">
        <v>39</v>
      </c>
      <c r="D149" s="201" t="s">
        <v>397</v>
      </c>
      <c r="E149" s="201" t="s">
        <v>46</v>
      </c>
      <c r="F149" s="118" t="s">
        <v>53</v>
      </c>
      <c r="G149" s="77" t="s">
        <v>313</v>
      </c>
      <c r="H149" s="77"/>
      <c r="I149" s="77" t="s">
        <v>313</v>
      </c>
      <c r="J149" s="77" t="s">
        <v>313</v>
      </c>
      <c r="K149" s="77"/>
      <c r="L149" s="77"/>
      <c r="M149" s="77"/>
      <c r="N149" s="40"/>
    </row>
    <row r="150" spans="1:14" ht="14.25" customHeight="1">
      <c r="A150" s="29">
        <f t="shared" si="6"/>
        <v>1.15</v>
      </c>
      <c r="B150" s="201">
        <v>1.15</v>
      </c>
      <c r="C150" s="202">
        <v>6</v>
      </c>
      <c r="D150" s="201" t="s">
        <v>277</v>
      </c>
      <c r="E150" s="201" t="s">
        <v>46</v>
      </c>
      <c r="F150" s="118" t="s">
        <v>80</v>
      </c>
      <c r="G150" s="77" t="s">
        <v>313</v>
      </c>
      <c r="H150" s="77"/>
      <c r="I150" s="77" t="s">
        <v>313</v>
      </c>
      <c r="J150" s="77" t="s">
        <v>313</v>
      </c>
      <c r="K150" s="77"/>
      <c r="L150" s="77"/>
      <c r="M150" s="77"/>
      <c r="N150" s="40"/>
    </row>
    <row r="151" spans="1:14" ht="14.25" customHeight="1">
      <c r="A151" s="29">
        <f t="shared" si="6"/>
        <v>1.15</v>
      </c>
      <c r="B151" s="201">
        <v>1.15</v>
      </c>
      <c r="C151" s="202">
        <v>18</v>
      </c>
      <c r="D151" s="201" t="s">
        <v>397</v>
      </c>
      <c r="E151" s="201" t="s">
        <v>46</v>
      </c>
      <c r="F151" s="118" t="s">
        <v>700</v>
      </c>
      <c r="G151" s="77"/>
      <c r="H151" s="77"/>
      <c r="I151" s="77" t="s">
        <v>313</v>
      </c>
      <c r="J151" s="77" t="s">
        <v>313</v>
      </c>
      <c r="K151" s="77"/>
      <c r="L151" s="77"/>
      <c r="M151" s="77"/>
      <c r="N151" s="40"/>
    </row>
    <row r="152" spans="1:14" ht="14.25" customHeight="1">
      <c r="A152" s="29" t="s">
        <v>471</v>
      </c>
      <c r="B152" s="201">
        <v>1.7</v>
      </c>
      <c r="C152" s="202">
        <v>48</v>
      </c>
      <c r="D152" s="201" t="s">
        <v>365</v>
      </c>
      <c r="E152" s="201" t="s">
        <v>46</v>
      </c>
      <c r="F152" s="122" t="s">
        <v>41</v>
      </c>
      <c r="G152" s="77" t="s">
        <v>313</v>
      </c>
      <c r="H152" s="77"/>
      <c r="I152" s="77" t="s">
        <v>313</v>
      </c>
      <c r="J152" s="77" t="s">
        <v>313</v>
      </c>
      <c r="K152" s="77"/>
      <c r="L152" s="77"/>
      <c r="M152" s="77"/>
      <c r="N152" s="40"/>
    </row>
    <row r="153" spans="1:14" ht="14.25" customHeight="1">
      <c r="A153" s="29">
        <f t="shared" si="6"/>
        <v>1.7</v>
      </c>
      <c r="B153" s="201">
        <v>1.7</v>
      </c>
      <c r="C153" s="202">
        <v>26</v>
      </c>
      <c r="D153" s="201" t="s">
        <v>365</v>
      </c>
      <c r="E153" s="201" t="s">
        <v>46</v>
      </c>
      <c r="F153" s="122" t="s">
        <v>149</v>
      </c>
      <c r="G153" s="77"/>
      <c r="H153" s="77"/>
      <c r="I153" s="77" t="s">
        <v>313</v>
      </c>
      <c r="J153" s="77" t="s">
        <v>313</v>
      </c>
      <c r="K153" s="77"/>
      <c r="L153" s="77"/>
      <c r="M153" s="77"/>
      <c r="N153" s="40"/>
    </row>
    <row r="154" spans="1:14" ht="14.25" customHeight="1">
      <c r="A154" s="29">
        <f t="shared" si="6"/>
        <v>1.31</v>
      </c>
      <c r="B154" s="201">
        <v>1.31</v>
      </c>
      <c r="C154" s="202" t="s">
        <v>478</v>
      </c>
      <c r="D154" s="201" t="s">
        <v>217</v>
      </c>
      <c r="E154" s="201" t="s">
        <v>46</v>
      </c>
      <c r="F154" s="122" t="s">
        <v>79</v>
      </c>
      <c r="G154" s="77" t="s">
        <v>313</v>
      </c>
      <c r="H154" s="77"/>
      <c r="I154" s="77" t="s">
        <v>313</v>
      </c>
      <c r="J154" s="77" t="s">
        <v>313</v>
      </c>
      <c r="K154" s="77"/>
      <c r="L154" s="77"/>
      <c r="M154" s="77"/>
      <c r="N154" s="40"/>
    </row>
    <row r="155" spans="1:14" ht="14.25" customHeight="1">
      <c r="A155" s="29">
        <f t="shared" si="6"/>
        <v>1.31</v>
      </c>
      <c r="B155" s="219">
        <v>1.31</v>
      </c>
      <c r="C155" s="220" t="s">
        <v>477</v>
      </c>
      <c r="D155" s="219" t="s">
        <v>217</v>
      </c>
      <c r="E155" s="219" t="s">
        <v>46</v>
      </c>
      <c r="F155" s="125" t="s">
        <v>82</v>
      </c>
      <c r="G155" s="87" t="s">
        <v>313</v>
      </c>
      <c r="H155" s="87"/>
      <c r="I155" s="87" t="s">
        <v>313</v>
      </c>
      <c r="J155" s="87" t="s">
        <v>313</v>
      </c>
      <c r="K155" s="87"/>
      <c r="L155" s="87"/>
      <c r="M155" s="87"/>
      <c r="N155" s="40"/>
    </row>
    <row r="156" spans="1:17" s="14" customFormat="1" ht="0" customHeight="1" hidden="1">
      <c r="A156" s="26"/>
      <c r="B156" s="204"/>
      <c r="C156" s="206" t="s">
        <v>321</v>
      </c>
      <c r="D156" s="206"/>
      <c r="E156" s="205"/>
      <c r="F156" s="124"/>
      <c r="G156" s="83"/>
      <c r="H156" s="83"/>
      <c r="I156" s="83"/>
      <c r="J156" s="84"/>
      <c r="K156" s="85"/>
      <c r="L156" s="86"/>
      <c r="M156" s="111"/>
      <c r="N156" s="41"/>
      <c r="O156" s="13"/>
      <c r="P156" s="13"/>
      <c r="Q156" s="2"/>
    </row>
    <row r="157" spans="1:14" ht="15" customHeight="1">
      <c r="A157" s="33"/>
      <c r="B157" s="207"/>
      <c r="C157" s="233" t="s">
        <v>309</v>
      </c>
      <c r="D157" s="234">
        <f>1!E14</f>
        <v>19</v>
      </c>
      <c r="E157" s="208" t="s">
        <v>122</v>
      </c>
      <c r="F157" s="133" t="s">
        <v>131</v>
      </c>
      <c r="G157" s="74"/>
      <c r="H157" s="75"/>
      <c r="I157" s="73"/>
      <c r="J157" s="73"/>
      <c r="K157" s="73"/>
      <c r="L157" s="81"/>
      <c r="M157" s="112"/>
      <c r="N157" s="41"/>
    </row>
    <row r="158" spans="1:14" ht="14.25" customHeight="1">
      <c r="A158" s="29">
        <f aca="true" t="shared" si="7" ref="A158:A174">B158</f>
        <v>1.7</v>
      </c>
      <c r="B158" s="201">
        <v>1.7</v>
      </c>
      <c r="C158" s="202">
        <v>163</v>
      </c>
      <c r="D158" s="201" t="s">
        <v>365</v>
      </c>
      <c r="E158" s="201" t="s">
        <v>122</v>
      </c>
      <c r="F158" s="122" t="s">
        <v>133</v>
      </c>
      <c r="G158" s="77"/>
      <c r="H158" s="77"/>
      <c r="I158" s="77" t="s">
        <v>313</v>
      </c>
      <c r="J158" s="77" t="s">
        <v>313</v>
      </c>
      <c r="K158" s="77"/>
      <c r="L158" s="77"/>
      <c r="M158" s="77"/>
      <c r="N158" s="40"/>
    </row>
    <row r="159" spans="1:14" ht="14.25" customHeight="1">
      <c r="A159" s="29">
        <f t="shared" si="7"/>
        <v>1.7</v>
      </c>
      <c r="B159" s="201">
        <v>1.7</v>
      </c>
      <c r="C159" s="202">
        <v>138</v>
      </c>
      <c r="D159" s="201" t="s">
        <v>365</v>
      </c>
      <c r="E159" s="201" t="s">
        <v>122</v>
      </c>
      <c r="F159" s="122" t="s">
        <v>134</v>
      </c>
      <c r="G159" s="77"/>
      <c r="H159" s="77"/>
      <c r="I159" s="77" t="s">
        <v>313</v>
      </c>
      <c r="J159" s="77" t="s">
        <v>313</v>
      </c>
      <c r="K159" s="77"/>
      <c r="L159" s="77"/>
      <c r="M159" s="77"/>
      <c r="N159" s="40"/>
    </row>
    <row r="160" spans="1:14" ht="14.25" customHeight="1">
      <c r="A160" s="29">
        <f t="shared" si="7"/>
        <v>1.7</v>
      </c>
      <c r="B160" s="211">
        <v>1.7</v>
      </c>
      <c r="C160" s="212">
        <v>147</v>
      </c>
      <c r="D160" s="211" t="s">
        <v>365</v>
      </c>
      <c r="E160" s="211" t="s">
        <v>122</v>
      </c>
      <c r="F160" s="173" t="s">
        <v>355</v>
      </c>
      <c r="G160" s="77" t="s">
        <v>313</v>
      </c>
      <c r="H160" s="77"/>
      <c r="I160" s="77" t="s">
        <v>313</v>
      </c>
      <c r="J160" s="77" t="s">
        <v>313</v>
      </c>
      <c r="K160" s="77"/>
      <c r="L160" s="77"/>
      <c r="M160" s="77"/>
      <c r="N160" s="40"/>
    </row>
    <row r="161" spans="1:14" ht="14.25" customHeight="1">
      <c r="A161" s="29">
        <f t="shared" si="7"/>
        <v>1.7</v>
      </c>
      <c r="B161" s="201">
        <v>1.7</v>
      </c>
      <c r="C161" s="202">
        <v>126</v>
      </c>
      <c r="D161" s="201" t="s">
        <v>365</v>
      </c>
      <c r="E161" s="201" t="s">
        <v>122</v>
      </c>
      <c r="F161" s="122" t="s">
        <v>349</v>
      </c>
      <c r="G161" s="77" t="s">
        <v>313</v>
      </c>
      <c r="H161" s="77"/>
      <c r="I161" s="77" t="s">
        <v>313</v>
      </c>
      <c r="J161" s="77" t="s">
        <v>313</v>
      </c>
      <c r="K161" s="77"/>
      <c r="L161" s="77"/>
      <c r="M161" s="77"/>
      <c r="N161" s="40"/>
    </row>
    <row r="162" spans="1:14" ht="14.25" customHeight="1">
      <c r="A162" s="29">
        <f t="shared" si="7"/>
        <v>1.7</v>
      </c>
      <c r="B162" s="211">
        <v>1.7</v>
      </c>
      <c r="C162" s="212">
        <v>123</v>
      </c>
      <c r="D162" s="211" t="s">
        <v>365</v>
      </c>
      <c r="E162" s="211" t="s">
        <v>122</v>
      </c>
      <c r="F162" s="173" t="s">
        <v>42</v>
      </c>
      <c r="G162" s="77" t="s">
        <v>313</v>
      </c>
      <c r="H162" s="77"/>
      <c r="I162" s="77" t="s">
        <v>313</v>
      </c>
      <c r="J162" s="77" t="s">
        <v>313</v>
      </c>
      <c r="K162" s="77"/>
      <c r="L162" s="77"/>
      <c r="M162" s="77"/>
      <c r="N162" s="40"/>
    </row>
    <row r="163" spans="2:14" ht="14.25" customHeight="1">
      <c r="B163" s="201">
        <v>1.7</v>
      </c>
      <c r="C163" s="202" t="s">
        <v>688</v>
      </c>
      <c r="D163" s="201" t="s">
        <v>365</v>
      </c>
      <c r="E163" s="201" t="s">
        <v>122</v>
      </c>
      <c r="F163" s="161" t="s">
        <v>465</v>
      </c>
      <c r="G163" s="77" t="s">
        <v>313</v>
      </c>
      <c r="H163" s="77"/>
      <c r="I163" s="77" t="s">
        <v>313</v>
      </c>
      <c r="J163" s="77" t="s">
        <v>313</v>
      </c>
      <c r="K163" s="77"/>
      <c r="L163" s="77"/>
      <c r="M163" s="77"/>
      <c r="N163" s="40"/>
    </row>
    <row r="164" spans="1:14" ht="14.25" customHeight="1">
      <c r="A164" s="29">
        <f t="shared" si="7"/>
        <v>1.7</v>
      </c>
      <c r="B164" s="201">
        <v>1.7</v>
      </c>
      <c r="C164" s="202">
        <v>113</v>
      </c>
      <c r="D164" s="201" t="s">
        <v>365</v>
      </c>
      <c r="E164" s="201" t="s">
        <v>122</v>
      </c>
      <c r="F164" s="122" t="s">
        <v>130</v>
      </c>
      <c r="G164" s="77" t="s">
        <v>313</v>
      </c>
      <c r="H164" s="77"/>
      <c r="I164" s="77" t="s">
        <v>313</v>
      </c>
      <c r="J164" s="77" t="s">
        <v>313</v>
      </c>
      <c r="K164" s="77" t="s">
        <v>313</v>
      </c>
      <c r="L164" s="77"/>
      <c r="M164" s="77"/>
      <c r="N164" s="40"/>
    </row>
    <row r="165" spans="1:14" ht="14.25" customHeight="1">
      <c r="A165" s="29">
        <f t="shared" si="7"/>
        <v>1.7</v>
      </c>
      <c r="B165" s="201">
        <v>1.7</v>
      </c>
      <c r="C165" s="202">
        <v>114</v>
      </c>
      <c r="D165" s="201" t="s">
        <v>365</v>
      </c>
      <c r="E165" s="201" t="s">
        <v>122</v>
      </c>
      <c r="F165" s="122" t="s">
        <v>237</v>
      </c>
      <c r="G165" s="77"/>
      <c r="H165" s="77"/>
      <c r="I165" s="77" t="s">
        <v>313</v>
      </c>
      <c r="J165" s="77" t="s">
        <v>313</v>
      </c>
      <c r="K165" s="77"/>
      <c r="L165" s="77"/>
      <c r="M165" s="77"/>
      <c r="N165" s="40"/>
    </row>
    <row r="166" spans="1:14" ht="14.25" customHeight="1">
      <c r="A166" s="29">
        <f t="shared" si="7"/>
        <v>1.7</v>
      </c>
      <c r="B166" s="201">
        <v>1.7</v>
      </c>
      <c r="C166" s="202">
        <v>109</v>
      </c>
      <c r="D166" s="201" t="s">
        <v>365</v>
      </c>
      <c r="E166" s="201" t="s">
        <v>122</v>
      </c>
      <c r="F166" s="122" t="s">
        <v>240</v>
      </c>
      <c r="G166" s="77" t="s">
        <v>313</v>
      </c>
      <c r="H166" s="77"/>
      <c r="I166" s="77" t="s">
        <v>313</v>
      </c>
      <c r="J166" s="77" t="s">
        <v>313</v>
      </c>
      <c r="K166" s="77" t="s">
        <v>313</v>
      </c>
      <c r="L166" s="77"/>
      <c r="M166" s="77"/>
      <c r="N166" s="40"/>
    </row>
    <row r="167" spans="1:14" ht="14.25" customHeight="1">
      <c r="A167" s="29">
        <f t="shared" si="7"/>
        <v>1.7</v>
      </c>
      <c r="B167" s="201">
        <v>1.7</v>
      </c>
      <c r="C167" s="202">
        <v>117</v>
      </c>
      <c r="D167" s="201" t="s">
        <v>365</v>
      </c>
      <c r="E167" s="201" t="s">
        <v>122</v>
      </c>
      <c r="F167" s="122" t="s">
        <v>135</v>
      </c>
      <c r="G167" s="77" t="s">
        <v>313</v>
      </c>
      <c r="H167" s="77"/>
      <c r="I167" s="77" t="s">
        <v>313</v>
      </c>
      <c r="J167" s="77" t="s">
        <v>313</v>
      </c>
      <c r="K167" s="77"/>
      <c r="L167" s="77"/>
      <c r="M167" s="77"/>
      <c r="N167" s="40"/>
    </row>
    <row r="168" spans="1:14" ht="14.25" customHeight="1">
      <c r="A168" s="29">
        <f t="shared" si="7"/>
        <v>1.15</v>
      </c>
      <c r="B168" s="201">
        <v>1.15</v>
      </c>
      <c r="C168" s="202">
        <v>195</v>
      </c>
      <c r="D168" s="201" t="s">
        <v>397</v>
      </c>
      <c r="E168" s="201" t="s">
        <v>122</v>
      </c>
      <c r="F168" s="118" t="s">
        <v>132</v>
      </c>
      <c r="G168" s="77" t="s">
        <v>313</v>
      </c>
      <c r="H168" s="77"/>
      <c r="I168" s="77"/>
      <c r="J168" s="77" t="s">
        <v>313</v>
      </c>
      <c r="K168" s="77"/>
      <c r="L168" s="77"/>
      <c r="M168" s="77"/>
      <c r="N168" s="40"/>
    </row>
    <row r="169" spans="1:14" ht="14.25" customHeight="1">
      <c r="A169" s="29">
        <f t="shared" si="7"/>
        <v>1.15</v>
      </c>
      <c r="B169" s="201">
        <v>1.15</v>
      </c>
      <c r="C169" s="202">
        <v>36</v>
      </c>
      <c r="D169" s="201" t="s">
        <v>397</v>
      </c>
      <c r="E169" s="201" t="s">
        <v>122</v>
      </c>
      <c r="F169" s="118" t="s">
        <v>226</v>
      </c>
      <c r="G169" s="77" t="s">
        <v>313</v>
      </c>
      <c r="H169" s="77"/>
      <c r="I169" s="77" t="s">
        <v>313</v>
      </c>
      <c r="J169" s="77" t="s">
        <v>313</v>
      </c>
      <c r="K169" s="77"/>
      <c r="L169" s="77"/>
      <c r="M169" s="77"/>
      <c r="N169" s="40"/>
    </row>
    <row r="170" spans="1:14" ht="14.25" customHeight="1">
      <c r="A170" s="29">
        <f t="shared" si="7"/>
        <v>1.15</v>
      </c>
      <c r="B170" s="201">
        <v>1.15</v>
      </c>
      <c r="C170" s="202">
        <v>204</v>
      </c>
      <c r="D170" s="201" t="s">
        <v>397</v>
      </c>
      <c r="E170" s="201" t="s">
        <v>122</v>
      </c>
      <c r="F170" s="118" t="s">
        <v>266</v>
      </c>
      <c r="G170" s="77" t="s">
        <v>313</v>
      </c>
      <c r="H170" s="77"/>
      <c r="I170" s="77" t="s">
        <v>313</v>
      </c>
      <c r="J170" s="77" t="s">
        <v>313</v>
      </c>
      <c r="K170" s="77"/>
      <c r="L170" s="77"/>
      <c r="M170" s="77"/>
      <c r="N170" s="40"/>
    </row>
    <row r="171" spans="1:14" ht="14.25" customHeight="1">
      <c r="A171" s="29">
        <f t="shared" si="7"/>
        <v>1.15</v>
      </c>
      <c r="B171" s="201">
        <v>1.15</v>
      </c>
      <c r="C171" s="202">
        <v>134</v>
      </c>
      <c r="D171" s="201" t="s">
        <v>397</v>
      </c>
      <c r="E171" s="201" t="s">
        <v>122</v>
      </c>
      <c r="F171" s="118" t="s">
        <v>238</v>
      </c>
      <c r="G171" s="77" t="s">
        <v>313</v>
      </c>
      <c r="H171" s="77"/>
      <c r="I171" s="77" t="s">
        <v>313</v>
      </c>
      <c r="J171" s="77" t="s">
        <v>313</v>
      </c>
      <c r="K171" s="77"/>
      <c r="L171" s="77"/>
      <c r="M171" s="77"/>
      <c r="N171" s="40"/>
    </row>
    <row r="172" spans="1:14" ht="14.25" customHeight="1">
      <c r="A172" s="29">
        <f t="shared" si="7"/>
        <v>1.15</v>
      </c>
      <c r="B172" s="201">
        <v>1.15</v>
      </c>
      <c r="C172" s="202">
        <v>140</v>
      </c>
      <c r="D172" s="201" t="s">
        <v>397</v>
      </c>
      <c r="E172" s="201" t="s">
        <v>122</v>
      </c>
      <c r="F172" s="118" t="s">
        <v>239</v>
      </c>
      <c r="G172" s="77" t="s">
        <v>313</v>
      </c>
      <c r="H172" s="77"/>
      <c r="I172" s="77" t="s">
        <v>313</v>
      </c>
      <c r="J172" s="77" t="s">
        <v>313</v>
      </c>
      <c r="K172" s="77"/>
      <c r="L172" s="77"/>
      <c r="M172" s="77"/>
      <c r="N172" s="40"/>
    </row>
    <row r="173" spans="2:14" ht="14.25" customHeight="1">
      <c r="B173" s="211">
        <v>1.15</v>
      </c>
      <c r="C173" s="212">
        <v>37</v>
      </c>
      <c r="D173" s="211" t="s">
        <v>397</v>
      </c>
      <c r="E173" s="211" t="s">
        <v>122</v>
      </c>
      <c r="F173" s="169" t="s">
        <v>267</v>
      </c>
      <c r="G173" s="77" t="s">
        <v>313</v>
      </c>
      <c r="H173" s="77"/>
      <c r="I173" s="77" t="s">
        <v>313</v>
      </c>
      <c r="J173" s="77" t="s">
        <v>313</v>
      </c>
      <c r="K173" s="77"/>
      <c r="L173" s="77"/>
      <c r="M173" s="77"/>
      <c r="N173" s="40"/>
    </row>
    <row r="174" spans="1:14" ht="14.25" customHeight="1">
      <c r="A174" s="29">
        <f t="shared" si="7"/>
        <v>1.15</v>
      </c>
      <c r="B174" s="201">
        <v>1.15</v>
      </c>
      <c r="C174" s="202">
        <v>1</v>
      </c>
      <c r="D174" s="201" t="s">
        <v>397</v>
      </c>
      <c r="E174" s="201" t="s">
        <v>122</v>
      </c>
      <c r="F174" s="118" t="s">
        <v>173</v>
      </c>
      <c r="G174" s="77"/>
      <c r="H174" s="77"/>
      <c r="I174" s="77" t="s">
        <v>313</v>
      </c>
      <c r="J174" s="77" t="s">
        <v>313</v>
      </c>
      <c r="K174" s="77"/>
      <c r="L174" s="77"/>
      <c r="M174" s="77"/>
      <c r="N174" s="40"/>
    </row>
    <row r="175" spans="1:14" ht="14.25" customHeight="1">
      <c r="A175" s="29">
        <f>B175</f>
        <v>1.7</v>
      </c>
      <c r="B175" s="201">
        <v>1.7</v>
      </c>
      <c r="C175" s="202">
        <v>16</v>
      </c>
      <c r="D175" s="201" t="s">
        <v>365</v>
      </c>
      <c r="E175" s="201" t="s">
        <v>122</v>
      </c>
      <c r="F175" s="122" t="s">
        <v>227</v>
      </c>
      <c r="G175" s="77" t="s">
        <v>313</v>
      </c>
      <c r="H175" s="77"/>
      <c r="I175" s="77" t="s">
        <v>313</v>
      </c>
      <c r="J175" s="77" t="s">
        <v>313</v>
      </c>
      <c r="K175" s="77"/>
      <c r="L175" s="77"/>
      <c r="M175" s="77"/>
      <c r="N175" s="40"/>
    </row>
    <row r="176" spans="2:14" ht="14.25" customHeight="1">
      <c r="B176" s="201">
        <v>1.7</v>
      </c>
      <c r="C176" s="202">
        <v>17</v>
      </c>
      <c r="D176" s="201" t="s">
        <v>365</v>
      </c>
      <c r="E176" s="201" t="s">
        <v>122</v>
      </c>
      <c r="F176" s="122" t="s">
        <v>245</v>
      </c>
      <c r="G176" s="77"/>
      <c r="H176" s="77"/>
      <c r="I176" s="77" t="s">
        <v>313</v>
      </c>
      <c r="J176" s="77" t="s">
        <v>313</v>
      </c>
      <c r="K176" s="77"/>
      <c r="L176" s="77"/>
      <c r="M176" s="77"/>
      <c r="N176" s="40"/>
    </row>
    <row r="177" spans="1:17" s="14" customFormat="1" ht="0" customHeight="1" hidden="1">
      <c r="A177" s="26"/>
      <c r="B177" s="221"/>
      <c r="C177" s="222" t="s">
        <v>321</v>
      </c>
      <c r="D177" s="222"/>
      <c r="E177" s="223"/>
      <c r="F177" s="152"/>
      <c r="G177" s="153"/>
      <c r="H177" s="153"/>
      <c r="I177" s="153"/>
      <c r="J177" s="154"/>
      <c r="K177" s="155"/>
      <c r="L177" s="156"/>
      <c r="M177" s="157"/>
      <c r="N177" s="41"/>
      <c r="O177" s="13"/>
      <c r="P177" s="13"/>
      <c r="Q177" s="2"/>
    </row>
    <row r="178" spans="1:14" ht="15" customHeight="1">
      <c r="A178" s="33"/>
      <c r="B178" s="207"/>
      <c r="C178" s="233" t="s">
        <v>309</v>
      </c>
      <c r="D178" s="234">
        <f>1!E15</f>
        <v>16</v>
      </c>
      <c r="E178" s="208" t="s">
        <v>174</v>
      </c>
      <c r="F178" s="133" t="s">
        <v>175</v>
      </c>
      <c r="G178" s="74"/>
      <c r="H178" s="75"/>
      <c r="I178" s="73"/>
      <c r="J178" s="73"/>
      <c r="K178" s="73"/>
      <c r="L178" s="81"/>
      <c r="M178" s="112"/>
      <c r="N178" s="41"/>
    </row>
    <row r="179" spans="1:14" ht="14.25" customHeight="1">
      <c r="A179" s="29">
        <f aca="true" t="shared" si="8" ref="A179:A188">B179</f>
        <v>1.7</v>
      </c>
      <c r="B179" s="201">
        <v>1.7</v>
      </c>
      <c r="C179" s="202">
        <v>110</v>
      </c>
      <c r="D179" s="201" t="s">
        <v>365</v>
      </c>
      <c r="E179" s="201" t="s">
        <v>174</v>
      </c>
      <c r="F179" s="122" t="s">
        <v>127</v>
      </c>
      <c r="G179" s="77" t="s">
        <v>313</v>
      </c>
      <c r="H179" s="77"/>
      <c r="I179" s="77" t="s">
        <v>313</v>
      </c>
      <c r="J179" s="77" t="s">
        <v>313</v>
      </c>
      <c r="K179" s="77"/>
      <c r="L179" s="77"/>
      <c r="M179" s="77"/>
      <c r="N179" s="40"/>
    </row>
    <row r="180" spans="1:14" ht="14.25" customHeight="1">
      <c r="A180" s="29">
        <f t="shared" si="8"/>
        <v>1.7</v>
      </c>
      <c r="B180" s="201">
        <v>1.7</v>
      </c>
      <c r="C180" s="202">
        <v>133</v>
      </c>
      <c r="D180" s="201" t="s">
        <v>365</v>
      </c>
      <c r="E180" s="201" t="s">
        <v>174</v>
      </c>
      <c r="F180" s="122" t="s">
        <v>256</v>
      </c>
      <c r="G180" s="77" t="s">
        <v>313</v>
      </c>
      <c r="H180" s="77"/>
      <c r="I180" s="77" t="s">
        <v>313</v>
      </c>
      <c r="J180" s="77" t="s">
        <v>313</v>
      </c>
      <c r="K180" s="77"/>
      <c r="L180" s="77"/>
      <c r="M180" s="77"/>
      <c r="N180" s="40"/>
    </row>
    <row r="181" spans="1:14" ht="14.25" customHeight="1">
      <c r="A181" s="29">
        <f t="shared" si="8"/>
        <v>1.7</v>
      </c>
      <c r="B181" s="209">
        <v>1.7</v>
      </c>
      <c r="C181" s="210">
        <v>134</v>
      </c>
      <c r="D181" s="209" t="s">
        <v>365</v>
      </c>
      <c r="E181" s="209" t="s">
        <v>174</v>
      </c>
      <c r="F181" s="158" t="s">
        <v>257</v>
      </c>
      <c r="G181" s="159"/>
      <c r="H181" s="159"/>
      <c r="I181" s="159"/>
      <c r="J181" s="159"/>
      <c r="K181" s="159"/>
      <c r="L181" s="159"/>
      <c r="M181" s="159"/>
      <c r="N181" s="40"/>
    </row>
    <row r="182" spans="1:14" ht="14.25" customHeight="1">
      <c r="A182" s="29">
        <f t="shared" si="8"/>
        <v>1.7</v>
      </c>
      <c r="B182" s="201">
        <v>1.7</v>
      </c>
      <c r="C182" s="202">
        <v>128</v>
      </c>
      <c r="D182" s="201" t="s">
        <v>365</v>
      </c>
      <c r="E182" s="201" t="s">
        <v>174</v>
      </c>
      <c r="F182" s="122" t="s">
        <v>350</v>
      </c>
      <c r="G182" s="77"/>
      <c r="H182" s="77"/>
      <c r="I182" s="77" t="s">
        <v>313</v>
      </c>
      <c r="J182" s="77" t="s">
        <v>313</v>
      </c>
      <c r="K182" s="77"/>
      <c r="L182" s="77"/>
      <c r="M182" s="77"/>
      <c r="N182" s="40"/>
    </row>
    <row r="183" spans="1:14" ht="14.25" customHeight="1">
      <c r="A183" s="29">
        <f t="shared" si="8"/>
        <v>1.15</v>
      </c>
      <c r="B183" s="211">
        <v>1.15</v>
      </c>
      <c r="C183" s="212">
        <v>35</v>
      </c>
      <c r="D183" s="211" t="s">
        <v>397</v>
      </c>
      <c r="E183" s="211" t="s">
        <v>174</v>
      </c>
      <c r="F183" s="169" t="s">
        <v>176</v>
      </c>
      <c r="G183" s="77" t="s">
        <v>313</v>
      </c>
      <c r="H183" s="77"/>
      <c r="I183" s="77" t="s">
        <v>313</v>
      </c>
      <c r="J183" s="77" t="s">
        <v>313</v>
      </c>
      <c r="K183" s="77"/>
      <c r="L183" s="77"/>
      <c r="M183" s="77"/>
      <c r="N183" s="40"/>
    </row>
    <row r="184" spans="1:14" ht="14.25" customHeight="1">
      <c r="A184" s="29">
        <f t="shared" si="8"/>
        <v>1.15</v>
      </c>
      <c r="B184" s="201">
        <v>1.15</v>
      </c>
      <c r="C184" s="202">
        <v>82</v>
      </c>
      <c r="D184" s="201" t="s">
        <v>397</v>
      </c>
      <c r="E184" s="201" t="s">
        <v>174</v>
      </c>
      <c r="F184" s="118" t="s">
        <v>178</v>
      </c>
      <c r="G184" s="77"/>
      <c r="H184" s="77"/>
      <c r="I184" s="77" t="s">
        <v>313</v>
      </c>
      <c r="J184" s="77" t="s">
        <v>313</v>
      </c>
      <c r="K184" s="77"/>
      <c r="L184" s="77"/>
      <c r="M184" s="77"/>
      <c r="N184" s="40"/>
    </row>
    <row r="185" spans="1:14" ht="14.25" customHeight="1">
      <c r="A185" s="29">
        <f t="shared" si="8"/>
        <v>1.15</v>
      </c>
      <c r="B185" s="201">
        <v>1.15</v>
      </c>
      <c r="C185" s="202">
        <v>144</v>
      </c>
      <c r="D185" s="201" t="s">
        <v>397</v>
      </c>
      <c r="E185" s="201" t="s">
        <v>174</v>
      </c>
      <c r="F185" s="118" t="s">
        <v>254</v>
      </c>
      <c r="G185" s="77" t="s">
        <v>313</v>
      </c>
      <c r="H185" s="77"/>
      <c r="I185" s="77" t="s">
        <v>313</v>
      </c>
      <c r="J185" s="77" t="s">
        <v>313</v>
      </c>
      <c r="K185" s="77"/>
      <c r="L185" s="77"/>
      <c r="M185" s="77"/>
      <c r="N185" s="40"/>
    </row>
    <row r="186" spans="1:14" ht="14.25" customHeight="1">
      <c r="A186" s="29">
        <f t="shared" si="8"/>
        <v>1.15</v>
      </c>
      <c r="B186" s="201">
        <v>1.15</v>
      </c>
      <c r="C186" s="202">
        <v>25</v>
      </c>
      <c r="D186" s="201" t="s">
        <v>397</v>
      </c>
      <c r="E186" s="201" t="s">
        <v>174</v>
      </c>
      <c r="F186" s="118" t="s">
        <v>255</v>
      </c>
      <c r="G186" s="77" t="s">
        <v>313</v>
      </c>
      <c r="H186" s="77"/>
      <c r="I186" s="77" t="s">
        <v>313</v>
      </c>
      <c r="J186" s="77" t="s">
        <v>313</v>
      </c>
      <c r="K186" s="77"/>
      <c r="L186" s="77"/>
      <c r="M186" s="77"/>
      <c r="N186" s="40"/>
    </row>
    <row r="187" spans="1:14" ht="14.25" customHeight="1">
      <c r="A187" s="29">
        <f t="shared" si="8"/>
        <v>1.15</v>
      </c>
      <c r="B187" s="201">
        <v>1.15</v>
      </c>
      <c r="C187" s="202">
        <v>121</v>
      </c>
      <c r="D187" s="201" t="s">
        <v>397</v>
      </c>
      <c r="E187" s="201" t="s">
        <v>174</v>
      </c>
      <c r="F187" s="118" t="s">
        <v>258</v>
      </c>
      <c r="G187" s="77"/>
      <c r="H187" s="77"/>
      <c r="I187" s="77" t="s">
        <v>313</v>
      </c>
      <c r="J187" s="77" t="s">
        <v>313</v>
      </c>
      <c r="K187" s="77"/>
      <c r="L187" s="77"/>
      <c r="M187" s="77"/>
      <c r="N187" s="40"/>
    </row>
    <row r="188" spans="1:14" ht="14.25" customHeight="1">
      <c r="A188" s="29">
        <f t="shared" si="8"/>
        <v>1.15</v>
      </c>
      <c r="B188" s="201">
        <v>1.15</v>
      </c>
      <c r="C188" s="202">
        <v>208</v>
      </c>
      <c r="D188" s="201" t="s">
        <v>397</v>
      </c>
      <c r="E188" s="201" t="s">
        <v>174</v>
      </c>
      <c r="F188" s="118" t="s">
        <v>260</v>
      </c>
      <c r="G188" s="77" t="s">
        <v>313</v>
      </c>
      <c r="H188" s="77"/>
      <c r="I188" s="77" t="s">
        <v>313</v>
      </c>
      <c r="J188" s="77" t="s">
        <v>313</v>
      </c>
      <c r="K188" s="77"/>
      <c r="L188" s="77"/>
      <c r="M188" s="77"/>
      <c r="N188" s="40"/>
    </row>
    <row r="189" spans="1:14" ht="14.25" customHeight="1">
      <c r="A189" s="29">
        <f aca="true" t="shared" si="9" ref="A189:A194">B189</f>
        <v>1.7</v>
      </c>
      <c r="B189" s="201">
        <v>1.7</v>
      </c>
      <c r="C189" s="202">
        <v>2</v>
      </c>
      <c r="D189" s="201" t="s">
        <v>365</v>
      </c>
      <c r="E189" s="201" t="s">
        <v>174</v>
      </c>
      <c r="F189" s="122" t="s">
        <v>177</v>
      </c>
      <c r="G189" s="77"/>
      <c r="H189" s="77"/>
      <c r="I189" s="77" t="s">
        <v>313</v>
      </c>
      <c r="J189" s="77" t="s">
        <v>313</v>
      </c>
      <c r="K189" s="77"/>
      <c r="L189" s="77"/>
      <c r="M189" s="77"/>
      <c r="N189" s="40"/>
    </row>
    <row r="190" spans="1:14" ht="14.25" customHeight="1">
      <c r="A190" s="29">
        <f t="shared" si="9"/>
        <v>1.31</v>
      </c>
      <c r="B190" s="201">
        <v>1.31</v>
      </c>
      <c r="C190" s="202" t="s">
        <v>502</v>
      </c>
      <c r="D190" s="201" t="s">
        <v>217</v>
      </c>
      <c r="E190" s="201" t="s">
        <v>174</v>
      </c>
      <c r="F190" s="122" t="s">
        <v>503</v>
      </c>
      <c r="G190" s="77" t="s">
        <v>313</v>
      </c>
      <c r="H190" s="77"/>
      <c r="I190" s="77" t="s">
        <v>313</v>
      </c>
      <c r="J190" s="77" t="s">
        <v>313</v>
      </c>
      <c r="K190" s="77"/>
      <c r="L190" s="77"/>
      <c r="M190" s="77"/>
      <c r="N190" s="40"/>
    </row>
    <row r="191" spans="1:14" ht="14.25" customHeight="1">
      <c r="A191" s="29">
        <f t="shared" si="9"/>
        <v>1.31</v>
      </c>
      <c r="B191" s="201">
        <v>1.31</v>
      </c>
      <c r="C191" s="202" t="s">
        <v>510</v>
      </c>
      <c r="D191" s="201" t="s">
        <v>217</v>
      </c>
      <c r="E191" s="201" t="s">
        <v>174</v>
      </c>
      <c r="F191" s="122" t="s">
        <v>252</v>
      </c>
      <c r="G191" s="77" t="s">
        <v>313</v>
      </c>
      <c r="H191" s="77"/>
      <c r="I191" s="77" t="s">
        <v>313</v>
      </c>
      <c r="J191" s="77" t="s">
        <v>313</v>
      </c>
      <c r="K191" s="77"/>
      <c r="L191" s="77"/>
      <c r="M191" s="77"/>
      <c r="N191" s="40"/>
    </row>
    <row r="192" spans="1:14" ht="14.25" customHeight="1">
      <c r="A192" s="29">
        <f t="shared" si="9"/>
        <v>1.31</v>
      </c>
      <c r="B192" s="201">
        <v>1.31</v>
      </c>
      <c r="C192" s="202" t="s">
        <v>505</v>
      </c>
      <c r="D192" s="201" t="s">
        <v>217</v>
      </c>
      <c r="E192" s="201" t="s">
        <v>174</v>
      </c>
      <c r="F192" s="122" t="s">
        <v>253</v>
      </c>
      <c r="G192" s="77" t="s">
        <v>313</v>
      </c>
      <c r="H192" s="77"/>
      <c r="I192" s="77" t="s">
        <v>313</v>
      </c>
      <c r="J192" s="77" t="s">
        <v>313</v>
      </c>
      <c r="K192" s="77"/>
      <c r="L192" s="77"/>
      <c r="M192" s="77"/>
      <c r="N192" s="40"/>
    </row>
    <row r="193" spans="1:14" ht="14.25" customHeight="1">
      <c r="A193" s="29">
        <f t="shared" si="9"/>
        <v>1.31</v>
      </c>
      <c r="B193" s="201">
        <v>1.31</v>
      </c>
      <c r="C193" s="202" t="s">
        <v>506</v>
      </c>
      <c r="D193" s="201" t="s">
        <v>217</v>
      </c>
      <c r="E193" s="201" t="s">
        <v>174</v>
      </c>
      <c r="F193" s="122" t="s">
        <v>259</v>
      </c>
      <c r="G193" s="77" t="s">
        <v>313</v>
      </c>
      <c r="H193" s="77"/>
      <c r="I193" s="77" t="s">
        <v>313</v>
      </c>
      <c r="J193" s="77" t="s">
        <v>313</v>
      </c>
      <c r="K193" s="77"/>
      <c r="L193" s="77"/>
      <c r="M193" s="77"/>
      <c r="N193" s="40"/>
    </row>
    <row r="194" spans="1:14" ht="14.25" customHeight="1">
      <c r="A194" s="29">
        <f t="shared" si="9"/>
        <v>1.31</v>
      </c>
      <c r="B194" s="201">
        <v>1.31</v>
      </c>
      <c r="C194" s="202" t="s">
        <v>504</v>
      </c>
      <c r="D194" s="201" t="s">
        <v>217</v>
      </c>
      <c r="E194" s="201" t="s">
        <v>174</v>
      </c>
      <c r="F194" s="122" t="s">
        <v>261</v>
      </c>
      <c r="G194" s="77" t="s">
        <v>313</v>
      </c>
      <c r="H194" s="77"/>
      <c r="I194" s="77" t="s">
        <v>313</v>
      </c>
      <c r="J194" s="77" t="s">
        <v>313</v>
      </c>
      <c r="K194" s="77"/>
      <c r="L194" s="77"/>
      <c r="M194" s="77"/>
      <c r="N194" s="40"/>
    </row>
    <row r="195" spans="1:17" s="14" customFormat="1" ht="0" customHeight="1" hidden="1">
      <c r="A195" s="26"/>
      <c r="B195" s="204"/>
      <c r="C195" s="206" t="s">
        <v>321</v>
      </c>
      <c r="D195" s="206"/>
      <c r="E195" s="205"/>
      <c r="F195" s="124"/>
      <c r="G195" s="83"/>
      <c r="H195" s="83"/>
      <c r="I195" s="83"/>
      <c r="J195" s="84"/>
      <c r="K195" s="85"/>
      <c r="L195" s="86"/>
      <c r="M195" s="111"/>
      <c r="N195" s="41"/>
      <c r="O195" s="13"/>
      <c r="P195" s="13"/>
      <c r="Q195" s="2"/>
    </row>
    <row r="196" spans="1:14" ht="15" customHeight="1">
      <c r="A196" s="33"/>
      <c r="B196" s="207"/>
      <c r="C196" s="233" t="s">
        <v>309</v>
      </c>
      <c r="D196" s="234">
        <f>1!E16</f>
        <v>22</v>
      </c>
      <c r="E196" s="208" t="s">
        <v>262</v>
      </c>
      <c r="F196" s="133" t="s">
        <v>183</v>
      </c>
      <c r="G196" s="74"/>
      <c r="H196" s="75"/>
      <c r="I196" s="73"/>
      <c r="J196" s="73"/>
      <c r="K196" s="73"/>
      <c r="L196" s="81"/>
      <c r="M196" s="112"/>
      <c r="N196" s="41"/>
    </row>
    <row r="197" spans="1:14" ht="14.25" customHeight="1">
      <c r="A197" s="29">
        <f aca="true" t="shared" si="10" ref="A197:A212">B197</f>
        <v>1.7</v>
      </c>
      <c r="B197" s="201">
        <v>1.7</v>
      </c>
      <c r="C197" s="202">
        <v>116</v>
      </c>
      <c r="D197" s="201" t="s">
        <v>365</v>
      </c>
      <c r="E197" s="201" t="s">
        <v>262</v>
      </c>
      <c r="F197" s="122" t="s">
        <v>411</v>
      </c>
      <c r="G197" s="77" t="s">
        <v>313</v>
      </c>
      <c r="H197" s="77"/>
      <c r="I197" s="77" t="s">
        <v>313</v>
      </c>
      <c r="J197" s="77" t="s">
        <v>313</v>
      </c>
      <c r="K197" s="77"/>
      <c r="L197" s="77"/>
      <c r="M197" s="77"/>
      <c r="N197" s="40"/>
    </row>
    <row r="198" spans="1:14" ht="14.25" customHeight="1">
      <c r="A198" s="29">
        <f t="shared" si="10"/>
        <v>1.7</v>
      </c>
      <c r="B198" s="211">
        <v>1.7</v>
      </c>
      <c r="C198" s="212">
        <v>111</v>
      </c>
      <c r="D198" s="211" t="s">
        <v>365</v>
      </c>
      <c r="E198" s="211" t="s">
        <v>262</v>
      </c>
      <c r="F198" s="173" t="s">
        <v>128</v>
      </c>
      <c r="G198" s="77"/>
      <c r="H198" s="77"/>
      <c r="I198" s="77" t="s">
        <v>313</v>
      </c>
      <c r="J198" s="77" t="s">
        <v>313</v>
      </c>
      <c r="K198" s="77"/>
      <c r="L198" s="77"/>
      <c r="M198" s="77"/>
      <c r="N198" s="40"/>
    </row>
    <row r="199" spans="1:14" ht="14.25" customHeight="1">
      <c r="A199" s="29">
        <f t="shared" si="10"/>
        <v>1.7</v>
      </c>
      <c r="B199" s="201">
        <v>1.7</v>
      </c>
      <c r="C199" s="202">
        <v>161</v>
      </c>
      <c r="D199" s="201" t="s">
        <v>365</v>
      </c>
      <c r="E199" s="201" t="s">
        <v>262</v>
      </c>
      <c r="F199" s="122" t="s">
        <v>360</v>
      </c>
      <c r="G199" s="77" t="s">
        <v>313</v>
      </c>
      <c r="H199" s="77"/>
      <c r="I199" s="77" t="s">
        <v>313</v>
      </c>
      <c r="J199" s="77" t="s">
        <v>313</v>
      </c>
      <c r="K199" s="77"/>
      <c r="L199" s="77"/>
      <c r="M199" s="77"/>
      <c r="N199" s="40"/>
    </row>
    <row r="200" spans="1:14" ht="14.25" customHeight="1">
      <c r="A200" s="29">
        <f t="shared" si="10"/>
        <v>1.7</v>
      </c>
      <c r="B200" s="211">
        <v>1.7</v>
      </c>
      <c r="C200" s="212">
        <v>137</v>
      </c>
      <c r="D200" s="211" t="s">
        <v>365</v>
      </c>
      <c r="E200" s="211" t="s">
        <v>262</v>
      </c>
      <c r="F200" s="173" t="s">
        <v>387</v>
      </c>
      <c r="G200" s="77" t="s">
        <v>313</v>
      </c>
      <c r="H200" s="77"/>
      <c r="I200" s="77" t="s">
        <v>313</v>
      </c>
      <c r="J200" s="77" t="s">
        <v>313</v>
      </c>
      <c r="K200" s="77"/>
      <c r="L200" s="77"/>
      <c r="M200" s="77"/>
      <c r="N200" s="40"/>
    </row>
    <row r="201" spans="1:14" ht="14.25" customHeight="1">
      <c r="A201" s="29">
        <f t="shared" si="10"/>
        <v>1.7</v>
      </c>
      <c r="B201" s="211">
        <v>1.7</v>
      </c>
      <c r="C201" s="212">
        <v>106</v>
      </c>
      <c r="D201" s="211" t="s">
        <v>365</v>
      </c>
      <c r="E201" s="211" t="s">
        <v>262</v>
      </c>
      <c r="F201" s="173" t="s">
        <v>388</v>
      </c>
      <c r="G201" s="77"/>
      <c r="H201" s="77"/>
      <c r="I201" s="77" t="s">
        <v>313</v>
      </c>
      <c r="J201" s="77" t="s">
        <v>313</v>
      </c>
      <c r="K201" s="77"/>
      <c r="L201" s="77"/>
      <c r="M201" s="77"/>
      <c r="N201" s="40"/>
    </row>
    <row r="202" spans="1:14" ht="14.25" customHeight="1">
      <c r="A202" s="29">
        <f t="shared" si="10"/>
        <v>1.7</v>
      </c>
      <c r="B202" s="201">
        <v>1.7</v>
      </c>
      <c r="C202" s="202">
        <v>166</v>
      </c>
      <c r="D202" s="201" t="s">
        <v>365</v>
      </c>
      <c r="E202" s="201" t="s">
        <v>262</v>
      </c>
      <c r="F202" s="122" t="s">
        <v>92</v>
      </c>
      <c r="G202" s="77" t="s">
        <v>313</v>
      </c>
      <c r="H202" s="77"/>
      <c r="I202" s="77" t="s">
        <v>313</v>
      </c>
      <c r="J202" s="77" t="s">
        <v>313</v>
      </c>
      <c r="K202" s="77" t="s">
        <v>313</v>
      </c>
      <c r="L202" s="77"/>
      <c r="M202" s="77"/>
      <c r="N202" s="40"/>
    </row>
    <row r="203" spans="1:14" ht="14.25" customHeight="1">
      <c r="A203" s="29">
        <f t="shared" si="10"/>
        <v>1.15</v>
      </c>
      <c r="B203" s="201">
        <v>1.15</v>
      </c>
      <c r="C203" s="202">
        <v>24</v>
      </c>
      <c r="D203" s="201" t="s">
        <v>397</v>
      </c>
      <c r="E203" s="201" t="s">
        <v>262</v>
      </c>
      <c r="F203" s="118" t="s">
        <v>319</v>
      </c>
      <c r="G203" s="77" t="s">
        <v>313</v>
      </c>
      <c r="H203" s="77"/>
      <c r="I203" s="77" t="s">
        <v>313</v>
      </c>
      <c r="J203" s="77" t="s">
        <v>313</v>
      </c>
      <c r="K203" s="77"/>
      <c r="L203" s="77"/>
      <c r="M203" s="77"/>
      <c r="N203" s="40"/>
    </row>
    <row r="204" spans="1:14" ht="14.25" customHeight="1">
      <c r="A204" s="29">
        <f t="shared" si="10"/>
        <v>1.15</v>
      </c>
      <c r="B204" s="201">
        <v>1.15</v>
      </c>
      <c r="C204" s="202">
        <v>51</v>
      </c>
      <c r="D204" s="201" t="s">
        <v>397</v>
      </c>
      <c r="E204" s="201" t="s">
        <v>262</v>
      </c>
      <c r="F204" s="118" t="s">
        <v>380</v>
      </c>
      <c r="G204" s="77" t="s">
        <v>313</v>
      </c>
      <c r="H204" s="77"/>
      <c r="I204" s="77" t="s">
        <v>313</v>
      </c>
      <c r="J204" s="77" t="s">
        <v>313</v>
      </c>
      <c r="K204" s="77"/>
      <c r="L204" s="77"/>
      <c r="M204" s="77"/>
      <c r="N204" s="40"/>
    </row>
    <row r="205" spans="1:14" ht="14.25" customHeight="1">
      <c r="A205" s="29">
        <f t="shared" si="10"/>
        <v>1.15</v>
      </c>
      <c r="B205" s="201">
        <v>1.15</v>
      </c>
      <c r="C205" s="202">
        <v>5</v>
      </c>
      <c r="D205" s="201" t="s">
        <v>277</v>
      </c>
      <c r="E205" s="201" t="s">
        <v>262</v>
      </c>
      <c r="F205" s="118" t="s">
        <v>381</v>
      </c>
      <c r="G205" s="77" t="s">
        <v>313</v>
      </c>
      <c r="H205" s="77"/>
      <c r="I205" s="77" t="s">
        <v>313</v>
      </c>
      <c r="J205" s="77" t="s">
        <v>313</v>
      </c>
      <c r="K205" s="77"/>
      <c r="L205" s="77"/>
      <c r="M205" s="77"/>
      <c r="N205" s="40"/>
    </row>
    <row r="206" spans="1:14" ht="14.25" customHeight="1">
      <c r="A206" s="29">
        <f t="shared" si="10"/>
        <v>1.15</v>
      </c>
      <c r="B206" s="201">
        <v>1.15</v>
      </c>
      <c r="C206" s="202">
        <v>2</v>
      </c>
      <c r="D206" s="201" t="s">
        <v>397</v>
      </c>
      <c r="E206" s="201" t="s">
        <v>262</v>
      </c>
      <c r="F206" s="118" t="s">
        <v>382</v>
      </c>
      <c r="G206" s="77"/>
      <c r="H206" s="77"/>
      <c r="I206" s="77" t="s">
        <v>313</v>
      </c>
      <c r="J206" s="77" t="s">
        <v>313</v>
      </c>
      <c r="K206" s="77"/>
      <c r="L206" s="77"/>
      <c r="M206" s="77"/>
      <c r="N206" s="40"/>
    </row>
    <row r="207" spans="1:14" ht="14.25" customHeight="1">
      <c r="A207" s="29">
        <f t="shared" si="10"/>
        <v>1.15</v>
      </c>
      <c r="B207" s="201">
        <v>1.15</v>
      </c>
      <c r="C207" s="202">
        <v>113</v>
      </c>
      <c r="D207" s="201" t="s">
        <v>397</v>
      </c>
      <c r="E207" s="201" t="s">
        <v>262</v>
      </c>
      <c r="F207" s="118" t="s">
        <v>409</v>
      </c>
      <c r="G207" s="77" t="s">
        <v>313</v>
      </c>
      <c r="H207" s="77"/>
      <c r="I207" s="77" t="s">
        <v>313</v>
      </c>
      <c r="J207" s="77" t="s">
        <v>313</v>
      </c>
      <c r="K207" s="77"/>
      <c r="L207" s="77"/>
      <c r="M207" s="77"/>
      <c r="N207" s="40"/>
    </row>
    <row r="208" spans="1:14" ht="14.25" customHeight="1">
      <c r="A208" s="29">
        <f t="shared" si="10"/>
        <v>1.15</v>
      </c>
      <c r="B208" s="211">
        <v>1.15</v>
      </c>
      <c r="C208" s="212">
        <v>117</v>
      </c>
      <c r="D208" s="211" t="s">
        <v>397</v>
      </c>
      <c r="E208" s="211" t="s">
        <v>262</v>
      </c>
      <c r="F208" s="169" t="s">
        <v>410</v>
      </c>
      <c r="G208" s="77" t="s">
        <v>313</v>
      </c>
      <c r="H208" s="77"/>
      <c r="I208" s="77" t="s">
        <v>313</v>
      </c>
      <c r="J208" s="77" t="s">
        <v>313</v>
      </c>
      <c r="K208" s="77"/>
      <c r="L208" s="77"/>
      <c r="M208" s="77"/>
      <c r="N208" s="40"/>
    </row>
    <row r="209" spans="1:14" ht="14.25" customHeight="1">
      <c r="A209" s="29">
        <f t="shared" si="10"/>
        <v>1.15</v>
      </c>
      <c r="B209" s="201">
        <v>1.15</v>
      </c>
      <c r="C209" s="202">
        <v>209</v>
      </c>
      <c r="D209" s="201" t="s">
        <v>397</v>
      </c>
      <c r="E209" s="201" t="s">
        <v>262</v>
      </c>
      <c r="F209" s="118" t="s">
        <v>412</v>
      </c>
      <c r="G209" s="77" t="s">
        <v>313</v>
      </c>
      <c r="H209" s="77"/>
      <c r="I209" s="77" t="s">
        <v>313</v>
      </c>
      <c r="J209" s="77" t="s">
        <v>313</v>
      </c>
      <c r="K209" s="77"/>
      <c r="L209" s="77"/>
      <c r="M209" s="77"/>
      <c r="N209" s="40"/>
    </row>
    <row r="210" spans="1:14" ht="14.25" customHeight="1">
      <c r="A210" s="29">
        <f t="shared" si="10"/>
        <v>1.15</v>
      </c>
      <c r="B210" s="201">
        <v>1.15</v>
      </c>
      <c r="C210" s="202">
        <v>119</v>
      </c>
      <c r="D210" s="201" t="s">
        <v>397</v>
      </c>
      <c r="E210" s="201" t="s">
        <v>262</v>
      </c>
      <c r="F210" s="118" t="s">
        <v>385</v>
      </c>
      <c r="G210" s="77" t="s">
        <v>313</v>
      </c>
      <c r="H210" s="77"/>
      <c r="I210" s="77" t="s">
        <v>313</v>
      </c>
      <c r="J210" s="77" t="s">
        <v>313</v>
      </c>
      <c r="K210" s="77"/>
      <c r="L210" s="77"/>
      <c r="M210" s="77"/>
      <c r="N210" s="40"/>
    </row>
    <row r="211" spans="1:14" ht="14.25" customHeight="1">
      <c r="A211" s="29">
        <f t="shared" si="10"/>
        <v>1.15</v>
      </c>
      <c r="B211" s="201">
        <v>1.15</v>
      </c>
      <c r="C211" s="202">
        <v>20</v>
      </c>
      <c r="D211" s="201" t="s">
        <v>397</v>
      </c>
      <c r="E211" s="201" t="s">
        <v>262</v>
      </c>
      <c r="F211" s="118" t="s">
        <v>389</v>
      </c>
      <c r="G211" s="77" t="s">
        <v>313</v>
      </c>
      <c r="H211" s="77"/>
      <c r="I211" s="77" t="s">
        <v>313</v>
      </c>
      <c r="J211" s="77" t="s">
        <v>313</v>
      </c>
      <c r="K211" s="77"/>
      <c r="L211" s="77"/>
      <c r="M211" s="77"/>
      <c r="N211" s="40"/>
    </row>
    <row r="212" spans="1:14" ht="14.25" customHeight="1">
      <c r="A212" s="29">
        <f t="shared" si="10"/>
        <v>1.15</v>
      </c>
      <c r="B212" s="201">
        <v>1.15</v>
      </c>
      <c r="C212" s="202">
        <v>22</v>
      </c>
      <c r="D212" s="201" t="s">
        <v>397</v>
      </c>
      <c r="E212" s="201" t="s">
        <v>262</v>
      </c>
      <c r="F212" s="118" t="s">
        <v>390</v>
      </c>
      <c r="G212" s="77" t="s">
        <v>313</v>
      </c>
      <c r="H212" s="77"/>
      <c r="I212" s="77" t="s">
        <v>313</v>
      </c>
      <c r="J212" s="77" t="s">
        <v>313</v>
      </c>
      <c r="K212" s="77"/>
      <c r="L212" s="77"/>
      <c r="M212" s="77"/>
      <c r="N212" s="40"/>
    </row>
    <row r="213" spans="1:14" ht="15.75" customHeight="1">
      <c r="A213" s="29">
        <f aca="true" t="shared" si="11" ref="A213:A218">B213</f>
        <v>1.7</v>
      </c>
      <c r="B213" s="201">
        <v>1.7</v>
      </c>
      <c r="C213" s="202">
        <v>38</v>
      </c>
      <c r="D213" s="201" t="s">
        <v>365</v>
      </c>
      <c r="E213" s="201" t="s">
        <v>262</v>
      </c>
      <c r="F213" s="122" t="s">
        <v>338</v>
      </c>
      <c r="G213" s="77" t="s">
        <v>313</v>
      </c>
      <c r="H213" s="77"/>
      <c r="I213" s="77" t="s">
        <v>313</v>
      </c>
      <c r="J213" s="77" t="s">
        <v>313</v>
      </c>
      <c r="K213" s="77" t="s">
        <v>313</v>
      </c>
      <c r="L213" s="77"/>
      <c r="M213" s="77"/>
      <c r="N213" s="40"/>
    </row>
    <row r="214" spans="2:14" ht="26.25" customHeight="1">
      <c r="B214" s="201">
        <v>1.7</v>
      </c>
      <c r="C214" s="202" t="s">
        <v>689</v>
      </c>
      <c r="D214" s="201" t="s">
        <v>365</v>
      </c>
      <c r="E214" s="201" t="s">
        <v>262</v>
      </c>
      <c r="F214" s="244" t="s">
        <v>466</v>
      </c>
      <c r="G214" s="77" t="s">
        <v>313</v>
      </c>
      <c r="H214" s="77"/>
      <c r="I214" s="77" t="s">
        <v>313</v>
      </c>
      <c r="J214" s="77" t="s">
        <v>313</v>
      </c>
      <c r="K214" s="77"/>
      <c r="L214" s="77"/>
      <c r="M214" s="77"/>
      <c r="N214" s="40"/>
    </row>
    <row r="215" spans="1:14" ht="14.25" customHeight="1">
      <c r="A215" s="29">
        <f t="shared" si="11"/>
        <v>1.7</v>
      </c>
      <c r="B215" s="201">
        <v>1.7</v>
      </c>
      <c r="C215" s="202">
        <v>3</v>
      </c>
      <c r="D215" s="201" t="s">
        <v>365</v>
      </c>
      <c r="E215" s="201" t="s">
        <v>262</v>
      </c>
      <c r="F215" s="122" t="s">
        <v>450</v>
      </c>
      <c r="G215" s="77" t="s">
        <v>313</v>
      </c>
      <c r="H215" s="77"/>
      <c r="I215" s="77" t="s">
        <v>313</v>
      </c>
      <c r="J215" s="77" t="s">
        <v>313</v>
      </c>
      <c r="K215" s="77"/>
      <c r="L215" s="77"/>
      <c r="M215" s="77"/>
      <c r="N215" s="40"/>
    </row>
    <row r="216" spans="1:14" ht="14.25" customHeight="1">
      <c r="A216" s="29">
        <f t="shared" si="11"/>
        <v>1.31</v>
      </c>
      <c r="B216" s="201">
        <v>1.31</v>
      </c>
      <c r="C216" s="202" t="s">
        <v>497</v>
      </c>
      <c r="D216" s="201" t="s">
        <v>217</v>
      </c>
      <c r="E216" s="201" t="s">
        <v>262</v>
      </c>
      <c r="F216" s="122" t="s">
        <v>184</v>
      </c>
      <c r="G216" s="77"/>
      <c r="H216" s="77"/>
      <c r="I216" s="77" t="s">
        <v>313</v>
      </c>
      <c r="J216" s="77" t="s">
        <v>313</v>
      </c>
      <c r="K216" s="77"/>
      <c r="L216" s="77"/>
      <c r="M216" s="77"/>
      <c r="N216" s="40"/>
    </row>
    <row r="217" spans="1:14" ht="14.25" customHeight="1">
      <c r="A217" s="29">
        <f t="shared" si="11"/>
        <v>1.31</v>
      </c>
      <c r="B217" s="201">
        <v>1.31</v>
      </c>
      <c r="C217" s="202" t="s">
        <v>496</v>
      </c>
      <c r="D217" s="201" t="s">
        <v>217</v>
      </c>
      <c r="E217" s="201" t="s">
        <v>262</v>
      </c>
      <c r="F217" s="122" t="s">
        <v>185</v>
      </c>
      <c r="G217" s="77" t="s">
        <v>313</v>
      </c>
      <c r="H217" s="77"/>
      <c r="I217" s="77" t="s">
        <v>313</v>
      </c>
      <c r="J217" s="77" t="s">
        <v>313</v>
      </c>
      <c r="K217" s="77"/>
      <c r="L217" s="77"/>
      <c r="M217" s="77"/>
      <c r="N217" s="40"/>
    </row>
    <row r="218" spans="1:14" ht="14.25" customHeight="1">
      <c r="A218" s="29">
        <f t="shared" si="11"/>
        <v>1.31</v>
      </c>
      <c r="B218" s="219">
        <v>1.31</v>
      </c>
      <c r="C218" s="220" t="s">
        <v>498</v>
      </c>
      <c r="D218" s="219" t="s">
        <v>217</v>
      </c>
      <c r="E218" s="219" t="s">
        <v>262</v>
      </c>
      <c r="F218" s="125" t="s">
        <v>386</v>
      </c>
      <c r="G218" s="87" t="s">
        <v>313</v>
      </c>
      <c r="H218" s="87"/>
      <c r="I218" s="87" t="s">
        <v>313</v>
      </c>
      <c r="J218" s="87" t="s">
        <v>313</v>
      </c>
      <c r="K218" s="87"/>
      <c r="L218" s="87"/>
      <c r="M218" s="87"/>
      <c r="N218" s="40"/>
    </row>
    <row r="219" spans="1:17" s="14" customFormat="1" ht="0" customHeight="1" hidden="1">
      <c r="A219" s="26"/>
      <c r="B219" s="204"/>
      <c r="C219" s="206" t="s">
        <v>321</v>
      </c>
      <c r="D219" s="206"/>
      <c r="E219" s="205"/>
      <c r="F219" s="124"/>
      <c r="G219" s="83"/>
      <c r="H219" s="83"/>
      <c r="I219" s="83"/>
      <c r="J219" s="84"/>
      <c r="K219" s="85"/>
      <c r="L219" s="86"/>
      <c r="M219" s="111"/>
      <c r="N219" s="41"/>
      <c r="O219" s="13"/>
      <c r="P219" s="13"/>
      <c r="Q219" s="2"/>
    </row>
    <row r="220" spans="1:17" ht="15" customHeight="1">
      <c r="A220" s="33"/>
      <c r="B220" s="207"/>
      <c r="C220" s="233" t="s">
        <v>309</v>
      </c>
      <c r="D220" s="234">
        <f>1!E17</f>
        <v>5</v>
      </c>
      <c r="E220" s="208" t="s">
        <v>391</v>
      </c>
      <c r="F220" s="133" t="s">
        <v>392</v>
      </c>
      <c r="G220" s="74"/>
      <c r="H220" s="75"/>
      <c r="I220" s="73"/>
      <c r="J220" s="73"/>
      <c r="K220" s="73"/>
      <c r="L220" s="81"/>
      <c r="M220" s="112"/>
      <c r="N220" s="41"/>
      <c r="O220" s="20"/>
      <c r="P220" s="20"/>
      <c r="Q220" s="20"/>
    </row>
    <row r="221" spans="1:14" s="20" customFormat="1" ht="14.25" customHeight="1">
      <c r="A221" s="102">
        <f>B221</f>
        <v>1.7</v>
      </c>
      <c r="B221" s="201">
        <v>1.7</v>
      </c>
      <c r="C221" s="202">
        <v>139</v>
      </c>
      <c r="D221" s="201" t="s">
        <v>365</v>
      </c>
      <c r="E221" s="201" t="s">
        <v>391</v>
      </c>
      <c r="F221" s="128" t="s">
        <v>353</v>
      </c>
      <c r="G221" s="77" t="s">
        <v>313</v>
      </c>
      <c r="H221" s="77"/>
      <c r="I221" s="77" t="s">
        <v>313</v>
      </c>
      <c r="J221" s="77" t="s">
        <v>313</v>
      </c>
      <c r="K221" s="77"/>
      <c r="L221" s="77"/>
      <c r="M221" s="77"/>
      <c r="N221" s="40"/>
    </row>
    <row r="222" spans="1:14" s="20" customFormat="1" ht="14.25" customHeight="1">
      <c r="A222" s="102"/>
      <c r="B222" s="201">
        <v>1.7</v>
      </c>
      <c r="C222" s="202">
        <v>112</v>
      </c>
      <c r="D222" s="201" t="s">
        <v>365</v>
      </c>
      <c r="E222" s="203" t="s">
        <v>391</v>
      </c>
      <c r="F222" s="118" t="s">
        <v>129</v>
      </c>
      <c r="G222" s="77"/>
      <c r="H222" s="77"/>
      <c r="I222" s="77" t="s">
        <v>313</v>
      </c>
      <c r="J222" s="77" t="s">
        <v>313</v>
      </c>
      <c r="K222" s="77"/>
      <c r="L222" s="77"/>
      <c r="M222" s="77"/>
      <c r="N222" s="40"/>
    </row>
    <row r="223" spans="1:17" s="20" customFormat="1" ht="14.25" customHeight="1">
      <c r="A223" s="102">
        <f>B223</f>
        <v>1.7</v>
      </c>
      <c r="B223" s="201">
        <v>1.7</v>
      </c>
      <c r="C223" s="202">
        <v>160</v>
      </c>
      <c r="D223" s="201" t="s">
        <v>365</v>
      </c>
      <c r="E223" s="203" t="s">
        <v>391</v>
      </c>
      <c r="F223" s="118" t="s">
        <v>129</v>
      </c>
      <c r="G223" s="77" t="s">
        <v>313</v>
      </c>
      <c r="H223" s="77"/>
      <c r="I223" s="77" t="s">
        <v>313</v>
      </c>
      <c r="J223" s="77" t="s">
        <v>313</v>
      </c>
      <c r="K223" s="77"/>
      <c r="L223" s="77"/>
      <c r="M223" s="77"/>
      <c r="N223" s="40"/>
      <c r="O223" s="13"/>
      <c r="P223" s="1"/>
      <c r="Q223" s="2"/>
    </row>
    <row r="224" spans="1:14" s="20" customFormat="1" ht="14.25" customHeight="1">
      <c r="A224" s="102"/>
      <c r="B224" s="216">
        <v>1.31</v>
      </c>
      <c r="C224" s="217" t="s">
        <v>508</v>
      </c>
      <c r="D224" s="201" t="s">
        <v>217</v>
      </c>
      <c r="E224" s="201" t="s">
        <v>391</v>
      </c>
      <c r="F224" s="122" t="s">
        <v>509</v>
      </c>
      <c r="G224" s="163" t="s">
        <v>313</v>
      </c>
      <c r="H224" s="163"/>
      <c r="I224" s="163" t="s">
        <v>313</v>
      </c>
      <c r="J224" s="163" t="s">
        <v>313</v>
      </c>
      <c r="K224" s="163"/>
      <c r="L224" s="163"/>
      <c r="M224" s="163"/>
      <c r="N224" s="40"/>
    </row>
    <row r="225" spans="1:14" s="20" customFormat="1" ht="15" customHeight="1" thickBot="1">
      <c r="A225" s="102">
        <f>B225</f>
        <v>1.31</v>
      </c>
      <c r="B225" s="219">
        <v>1.31</v>
      </c>
      <c r="C225" s="220" t="s">
        <v>507</v>
      </c>
      <c r="D225" s="224" t="s">
        <v>217</v>
      </c>
      <c r="E225" s="219" t="s">
        <v>391</v>
      </c>
      <c r="F225" s="170" t="s">
        <v>288</v>
      </c>
      <c r="G225" s="87" t="s">
        <v>313</v>
      </c>
      <c r="H225" s="87"/>
      <c r="I225" s="87" t="s">
        <v>313</v>
      </c>
      <c r="J225" s="87" t="s">
        <v>313</v>
      </c>
      <c r="K225" s="87"/>
      <c r="L225" s="87"/>
      <c r="M225" s="87"/>
      <c r="N225" s="40"/>
    </row>
    <row r="226" spans="1:17" s="14" customFormat="1" ht="0" customHeight="1" hidden="1" thickBot="1">
      <c r="A226" s="26"/>
      <c r="B226" s="204"/>
      <c r="C226" s="206" t="s">
        <v>321</v>
      </c>
      <c r="D226" s="206"/>
      <c r="E226" s="205"/>
      <c r="F226" s="124"/>
      <c r="G226" s="83"/>
      <c r="H226" s="83"/>
      <c r="I226" s="83"/>
      <c r="J226" s="84"/>
      <c r="K226" s="85"/>
      <c r="L226" s="86"/>
      <c r="M226" s="111"/>
      <c r="N226" s="41"/>
      <c r="O226" s="13"/>
      <c r="P226" s="13"/>
      <c r="Q226" s="2"/>
    </row>
    <row r="227" spans="1:14" ht="15" customHeight="1" thickTop="1">
      <c r="A227" s="33"/>
      <c r="B227" s="225"/>
      <c r="C227" s="226" t="s">
        <v>213</v>
      </c>
      <c r="D227" s="226"/>
      <c r="E227" s="227"/>
      <c r="F227" s="134">
        <f>1!E19</f>
        <v>182</v>
      </c>
      <c r="G227" s="69" t="s">
        <v>307</v>
      </c>
      <c r="H227" s="70"/>
      <c r="I227" s="67"/>
      <c r="J227" s="71"/>
      <c r="K227" s="71"/>
      <c r="L227" s="71"/>
      <c r="M227" s="107"/>
      <c r="N227" s="38"/>
    </row>
    <row r="228" spans="2:14" ht="15" customHeight="1">
      <c r="B228" s="228"/>
      <c r="C228" s="236" t="s">
        <v>309</v>
      </c>
      <c r="D228" s="237">
        <f>1!E20</f>
        <v>58</v>
      </c>
      <c r="E228" s="229" t="s">
        <v>214</v>
      </c>
      <c r="F228" s="135" t="s">
        <v>215</v>
      </c>
      <c r="G228" s="91"/>
      <c r="H228" s="92"/>
      <c r="I228" s="93"/>
      <c r="J228" s="93"/>
      <c r="K228" s="93"/>
      <c r="L228" s="93"/>
      <c r="M228" s="114"/>
      <c r="N228" s="42"/>
    </row>
    <row r="229" spans="1:14" ht="14.25" customHeight="1">
      <c r="A229" s="29">
        <f aca="true" t="shared" si="12" ref="A229:A234">B229</f>
        <v>1.7</v>
      </c>
      <c r="B229" s="211">
        <v>1.7</v>
      </c>
      <c r="C229" s="212">
        <v>231</v>
      </c>
      <c r="D229" s="211" t="s">
        <v>365</v>
      </c>
      <c r="E229" s="211" t="s">
        <v>214</v>
      </c>
      <c r="F229" s="169" t="s">
        <v>453</v>
      </c>
      <c r="G229" s="77" t="s">
        <v>313</v>
      </c>
      <c r="H229" s="77"/>
      <c r="I229" s="77" t="s">
        <v>313</v>
      </c>
      <c r="J229" s="77" t="s">
        <v>313</v>
      </c>
      <c r="K229" s="77"/>
      <c r="L229" s="94"/>
      <c r="M229" s="77"/>
      <c r="N229" s="43"/>
    </row>
    <row r="230" spans="1:14" ht="14.25" customHeight="1">
      <c r="A230" s="29">
        <f t="shared" si="12"/>
        <v>1.7</v>
      </c>
      <c r="B230" s="213">
        <v>1.7</v>
      </c>
      <c r="C230" s="214">
        <v>209</v>
      </c>
      <c r="D230" s="213" t="s">
        <v>365</v>
      </c>
      <c r="E230" s="213" t="s">
        <v>214</v>
      </c>
      <c r="F230" s="164" t="s">
        <v>96</v>
      </c>
      <c r="G230" s="77"/>
      <c r="H230" s="77"/>
      <c r="I230" s="77" t="s">
        <v>313</v>
      </c>
      <c r="J230" s="77" t="s">
        <v>313</v>
      </c>
      <c r="K230" s="77"/>
      <c r="L230" s="94"/>
      <c r="M230" s="77"/>
      <c r="N230" s="43"/>
    </row>
    <row r="231" spans="1:14" ht="14.25" customHeight="1">
      <c r="A231" s="29">
        <f t="shared" si="12"/>
        <v>1.7</v>
      </c>
      <c r="B231" s="201">
        <v>1.7</v>
      </c>
      <c r="C231" s="202">
        <v>184</v>
      </c>
      <c r="D231" s="201" t="s">
        <v>365</v>
      </c>
      <c r="E231" s="201" t="s">
        <v>214</v>
      </c>
      <c r="F231" s="118" t="s">
        <v>363</v>
      </c>
      <c r="G231" s="77" t="s">
        <v>313</v>
      </c>
      <c r="H231" s="77"/>
      <c r="I231" s="77" t="s">
        <v>313</v>
      </c>
      <c r="J231" s="77" t="s">
        <v>313</v>
      </c>
      <c r="K231" s="77"/>
      <c r="L231" s="94"/>
      <c r="M231" s="77"/>
      <c r="N231" s="43"/>
    </row>
    <row r="232" spans="1:14" ht="25.5" customHeight="1">
      <c r="A232" s="29">
        <f t="shared" si="12"/>
        <v>1.7</v>
      </c>
      <c r="B232" s="211">
        <v>1.7</v>
      </c>
      <c r="C232" s="212">
        <v>195</v>
      </c>
      <c r="D232" s="211" t="s">
        <v>365</v>
      </c>
      <c r="E232" s="211" t="s">
        <v>214</v>
      </c>
      <c r="F232" s="200" t="s">
        <v>442</v>
      </c>
      <c r="G232" s="77" t="s">
        <v>313</v>
      </c>
      <c r="H232" s="77"/>
      <c r="I232" s="77" t="s">
        <v>313</v>
      </c>
      <c r="J232" s="77" t="s">
        <v>313</v>
      </c>
      <c r="K232" s="77"/>
      <c r="L232" s="94"/>
      <c r="M232" s="77"/>
      <c r="N232" s="43"/>
    </row>
    <row r="233" spans="1:14" ht="14.25" customHeight="1">
      <c r="A233" s="29">
        <f t="shared" si="12"/>
        <v>1.7</v>
      </c>
      <c r="B233" s="211">
        <v>1.7</v>
      </c>
      <c r="C233" s="212">
        <v>202</v>
      </c>
      <c r="D233" s="211" t="s">
        <v>365</v>
      </c>
      <c r="E233" s="211" t="s">
        <v>214</v>
      </c>
      <c r="F233" s="169" t="s">
        <v>475</v>
      </c>
      <c r="G233" s="144" t="s">
        <v>313</v>
      </c>
      <c r="H233" s="77"/>
      <c r="I233" s="77" t="s">
        <v>313</v>
      </c>
      <c r="J233" s="77" t="s">
        <v>313</v>
      </c>
      <c r="K233" s="77"/>
      <c r="L233" s="94"/>
      <c r="M233" s="77"/>
      <c r="N233" s="43"/>
    </row>
    <row r="234" spans="1:14" ht="25.5" customHeight="1">
      <c r="A234" s="29">
        <f t="shared" si="12"/>
        <v>1.7</v>
      </c>
      <c r="B234" s="201">
        <v>1.7</v>
      </c>
      <c r="C234" s="202">
        <v>196</v>
      </c>
      <c r="D234" s="201" t="s">
        <v>365</v>
      </c>
      <c r="E234" s="201" t="s">
        <v>214</v>
      </c>
      <c r="F234" s="118" t="s">
        <v>442</v>
      </c>
      <c r="G234" s="77" t="s">
        <v>313</v>
      </c>
      <c r="H234" s="77"/>
      <c r="I234" s="77" t="s">
        <v>313</v>
      </c>
      <c r="J234" s="77" t="s">
        <v>313</v>
      </c>
      <c r="K234" s="77"/>
      <c r="L234" s="94"/>
      <c r="M234" s="77"/>
      <c r="N234" s="43"/>
    </row>
    <row r="235" spans="1:14" ht="25.5" customHeight="1">
      <c r="A235" s="29">
        <f>B235</f>
        <v>1.7</v>
      </c>
      <c r="B235" s="201">
        <v>1.7</v>
      </c>
      <c r="C235" s="202">
        <v>12</v>
      </c>
      <c r="D235" s="201" t="s">
        <v>365</v>
      </c>
      <c r="E235" s="201" t="s">
        <v>214</v>
      </c>
      <c r="F235" s="118" t="s">
        <v>19</v>
      </c>
      <c r="G235" s="77" t="s">
        <v>313</v>
      </c>
      <c r="H235" s="77"/>
      <c r="I235" s="77" t="s">
        <v>313</v>
      </c>
      <c r="J235" s="77" t="s">
        <v>313</v>
      </c>
      <c r="K235" s="77"/>
      <c r="L235" s="77"/>
      <c r="M235" s="77"/>
      <c r="N235" s="40"/>
    </row>
    <row r="236" spans="1:14" ht="25.5" customHeight="1">
      <c r="A236" s="29">
        <f>B236</f>
        <v>1.7</v>
      </c>
      <c r="B236" s="201">
        <v>1.7</v>
      </c>
      <c r="C236" s="202">
        <v>13</v>
      </c>
      <c r="D236" s="201" t="s">
        <v>365</v>
      </c>
      <c r="E236" s="201" t="s">
        <v>214</v>
      </c>
      <c r="F236" s="118" t="s">
        <v>216</v>
      </c>
      <c r="G236" s="77" t="s">
        <v>313</v>
      </c>
      <c r="H236" s="77"/>
      <c r="I236" s="77" t="s">
        <v>313</v>
      </c>
      <c r="J236" s="77" t="s">
        <v>313</v>
      </c>
      <c r="K236" s="77"/>
      <c r="L236" s="77"/>
      <c r="M236" s="77"/>
      <c r="N236" s="40"/>
    </row>
    <row r="237" spans="2:14" ht="25.5" customHeight="1">
      <c r="B237" s="213">
        <v>1.7</v>
      </c>
      <c r="C237" s="214">
        <v>199</v>
      </c>
      <c r="D237" s="213" t="s">
        <v>365</v>
      </c>
      <c r="E237" s="213" t="s">
        <v>214</v>
      </c>
      <c r="F237" s="165" t="s">
        <v>458</v>
      </c>
      <c r="G237" s="77" t="s">
        <v>313</v>
      </c>
      <c r="H237" s="77"/>
      <c r="I237" s="77" t="s">
        <v>313</v>
      </c>
      <c r="J237" s="77" t="s">
        <v>313</v>
      </c>
      <c r="K237" s="77"/>
      <c r="L237" s="77"/>
      <c r="M237" s="77"/>
      <c r="N237" s="40"/>
    </row>
    <row r="238" spans="2:14" ht="25.5" customHeight="1">
      <c r="B238" s="213">
        <v>1.7</v>
      </c>
      <c r="C238" s="214">
        <v>200</v>
      </c>
      <c r="D238" s="213" t="s">
        <v>365</v>
      </c>
      <c r="E238" s="213" t="s">
        <v>214</v>
      </c>
      <c r="F238" s="165" t="s">
        <v>458</v>
      </c>
      <c r="G238" s="77" t="s">
        <v>313</v>
      </c>
      <c r="H238" s="77"/>
      <c r="I238" s="77" t="s">
        <v>313</v>
      </c>
      <c r="J238" s="77" t="s">
        <v>313</v>
      </c>
      <c r="K238" s="77"/>
      <c r="L238" s="77"/>
      <c r="M238" s="77"/>
      <c r="N238" s="40"/>
    </row>
    <row r="239" spans="1:14" ht="14.25" customHeight="1">
      <c r="A239" s="29">
        <f aca="true" t="shared" si="13" ref="A239:A279">B239</f>
        <v>1.7</v>
      </c>
      <c r="B239" s="201">
        <v>1.7</v>
      </c>
      <c r="C239" s="202">
        <v>43</v>
      </c>
      <c r="D239" s="201" t="s">
        <v>365</v>
      </c>
      <c r="E239" s="201" t="s">
        <v>214</v>
      </c>
      <c r="F239" s="118" t="s">
        <v>295</v>
      </c>
      <c r="G239" s="77" t="s">
        <v>313</v>
      </c>
      <c r="H239" s="77"/>
      <c r="I239" s="77" t="s">
        <v>313</v>
      </c>
      <c r="J239" s="77" t="s">
        <v>313</v>
      </c>
      <c r="K239" s="77"/>
      <c r="L239" s="77"/>
      <c r="M239" s="77"/>
      <c r="N239" s="40"/>
    </row>
    <row r="240" spans="2:14" ht="14.25" customHeight="1">
      <c r="B240" s="213">
        <v>1.7</v>
      </c>
      <c r="C240" s="214" t="s">
        <v>686</v>
      </c>
      <c r="D240" s="213" t="s">
        <v>365</v>
      </c>
      <c r="E240" s="213" t="s">
        <v>214</v>
      </c>
      <c r="F240" s="243" t="s">
        <v>459</v>
      </c>
      <c r="G240" s="77" t="s">
        <v>313</v>
      </c>
      <c r="H240" s="77"/>
      <c r="I240" s="77" t="s">
        <v>313</v>
      </c>
      <c r="J240" s="77" t="s">
        <v>313</v>
      </c>
      <c r="K240" s="77"/>
      <c r="L240" s="77"/>
      <c r="M240" s="77"/>
      <c r="N240" s="40"/>
    </row>
    <row r="241" spans="2:14" ht="14.25" customHeight="1">
      <c r="B241" s="213">
        <v>1.7</v>
      </c>
      <c r="C241" s="214" t="s">
        <v>687</v>
      </c>
      <c r="D241" s="213" t="s">
        <v>365</v>
      </c>
      <c r="E241" s="213" t="s">
        <v>214</v>
      </c>
      <c r="F241" s="198" t="s">
        <v>462</v>
      </c>
      <c r="G241" s="77" t="s">
        <v>313</v>
      </c>
      <c r="H241" s="77"/>
      <c r="I241" s="77" t="s">
        <v>313</v>
      </c>
      <c r="J241" s="77" t="s">
        <v>313</v>
      </c>
      <c r="K241" s="77"/>
      <c r="L241" s="77"/>
      <c r="M241" s="77"/>
      <c r="N241" s="40"/>
    </row>
    <row r="242" spans="1:14" ht="25.5" customHeight="1">
      <c r="A242" s="29">
        <f t="shared" si="13"/>
        <v>1.7</v>
      </c>
      <c r="B242" s="201">
        <v>1.7</v>
      </c>
      <c r="C242" s="202">
        <v>30</v>
      </c>
      <c r="D242" s="201" t="s">
        <v>365</v>
      </c>
      <c r="E242" s="201" t="s">
        <v>214</v>
      </c>
      <c r="F242" s="118" t="s">
        <v>97</v>
      </c>
      <c r="G242" s="77" t="s">
        <v>313</v>
      </c>
      <c r="H242" s="77"/>
      <c r="I242" s="77" t="s">
        <v>313</v>
      </c>
      <c r="J242" s="77" t="s">
        <v>313</v>
      </c>
      <c r="K242" s="77" t="s">
        <v>313</v>
      </c>
      <c r="L242" s="94"/>
      <c r="M242" s="77"/>
      <c r="N242" s="43"/>
    </row>
    <row r="243" spans="1:14" ht="25.5" customHeight="1">
      <c r="A243" s="29">
        <f t="shared" si="13"/>
        <v>1.7</v>
      </c>
      <c r="B243" s="201">
        <v>1.7</v>
      </c>
      <c r="C243" s="202">
        <v>29</v>
      </c>
      <c r="D243" s="201" t="s">
        <v>365</v>
      </c>
      <c r="E243" s="201" t="s">
        <v>214</v>
      </c>
      <c r="F243" s="118" t="s">
        <v>198</v>
      </c>
      <c r="G243" s="77" t="s">
        <v>313</v>
      </c>
      <c r="H243" s="77"/>
      <c r="I243" s="77" t="s">
        <v>313</v>
      </c>
      <c r="J243" s="77" t="s">
        <v>313</v>
      </c>
      <c r="K243" s="77" t="s">
        <v>313</v>
      </c>
      <c r="L243" s="94"/>
      <c r="M243" s="77"/>
      <c r="N243" s="43"/>
    </row>
    <row r="244" spans="2:14" ht="25.5" customHeight="1">
      <c r="B244" s="201">
        <v>1.7</v>
      </c>
      <c r="C244" s="202">
        <v>14</v>
      </c>
      <c r="D244" s="201" t="s">
        <v>365</v>
      </c>
      <c r="E244" s="201" t="s">
        <v>214</v>
      </c>
      <c r="F244" s="118" t="s">
        <v>428</v>
      </c>
      <c r="G244" s="77" t="s">
        <v>313</v>
      </c>
      <c r="H244" s="77"/>
      <c r="I244" s="77" t="s">
        <v>313</v>
      </c>
      <c r="J244" s="77" t="s">
        <v>313</v>
      </c>
      <c r="K244" s="77"/>
      <c r="L244" s="94"/>
      <c r="M244" s="77"/>
      <c r="N244" s="43"/>
    </row>
    <row r="245" spans="2:14" ht="25.5" customHeight="1">
      <c r="B245" s="201">
        <v>1.7</v>
      </c>
      <c r="C245" s="202" t="s">
        <v>685</v>
      </c>
      <c r="D245" s="201" t="s">
        <v>365</v>
      </c>
      <c r="E245" s="201" t="s">
        <v>214</v>
      </c>
      <c r="F245" s="160" t="s">
        <v>460</v>
      </c>
      <c r="G245" s="77" t="s">
        <v>313</v>
      </c>
      <c r="H245" s="77"/>
      <c r="I245" s="77" t="s">
        <v>313</v>
      </c>
      <c r="J245" s="77" t="s">
        <v>313</v>
      </c>
      <c r="K245" s="77"/>
      <c r="L245" s="94"/>
      <c r="M245" s="77"/>
      <c r="N245" s="43"/>
    </row>
    <row r="246" spans="2:14" ht="25.5" customHeight="1">
      <c r="B246" s="213">
        <v>1.7</v>
      </c>
      <c r="C246" s="214">
        <v>207</v>
      </c>
      <c r="D246" s="213" t="s">
        <v>365</v>
      </c>
      <c r="E246" s="213" t="s">
        <v>214</v>
      </c>
      <c r="F246" s="167" t="s">
        <v>461</v>
      </c>
      <c r="G246" s="77" t="s">
        <v>313</v>
      </c>
      <c r="H246" s="77"/>
      <c r="I246" s="77" t="s">
        <v>313</v>
      </c>
      <c r="J246" s="77"/>
      <c r="K246" s="77"/>
      <c r="L246" s="94"/>
      <c r="M246" s="77"/>
      <c r="N246" s="43"/>
    </row>
    <row r="247" spans="2:14" ht="14.25" customHeight="1">
      <c r="B247" s="201">
        <v>1.7</v>
      </c>
      <c r="C247" s="202">
        <v>22</v>
      </c>
      <c r="D247" s="201" t="s">
        <v>365</v>
      </c>
      <c r="E247" s="201" t="s">
        <v>214</v>
      </c>
      <c r="F247" s="118" t="s">
        <v>287</v>
      </c>
      <c r="G247" s="77" t="s">
        <v>313</v>
      </c>
      <c r="H247" s="77"/>
      <c r="I247" s="77" t="s">
        <v>313</v>
      </c>
      <c r="J247" s="77" t="s">
        <v>313</v>
      </c>
      <c r="K247" s="77"/>
      <c r="L247" s="94"/>
      <c r="M247" s="77"/>
      <c r="N247" s="43"/>
    </row>
    <row r="248" spans="2:14" ht="14.25" customHeight="1">
      <c r="B248" s="201">
        <v>1.7</v>
      </c>
      <c r="C248" s="202">
        <v>182</v>
      </c>
      <c r="D248" s="201" t="s">
        <v>365</v>
      </c>
      <c r="E248" s="201" t="s">
        <v>214</v>
      </c>
      <c r="F248" s="118" t="s">
        <v>473</v>
      </c>
      <c r="G248" s="77" t="s">
        <v>313</v>
      </c>
      <c r="H248" s="77"/>
      <c r="I248" s="77" t="s">
        <v>313</v>
      </c>
      <c r="J248" s="77" t="s">
        <v>313</v>
      </c>
      <c r="K248" s="77" t="s">
        <v>313</v>
      </c>
      <c r="L248" s="94"/>
      <c r="M248" s="77"/>
      <c r="N248" s="43"/>
    </row>
    <row r="249" spans="2:14" ht="14.25" customHeight="1">
      <c r="B249" s="213">
        <v>1.7</v>
      </c>
      <c r="C249" s="214">
        <v>197</v>
      </c>
      <c r="D249" s="213" t="s">
        <v>365</v>
      </c>
      <c r="E249" s="213" t="s">
        <v>214</v>
      </c>
      <c r="F249" s="164" t="s">
        <v>443</v>
      </c>
      <c r="G249" s="77" t="s">
        <v>313</v>
      </c>
      <c r="H249" s="77"/>
      <c r="I249" s="77" t="s">
        <v>313</v>
      </c>
      <c r="J249" s="77" t="s">
        <v>313</v>
      </c>
      <c r="K249" s="77"/>
      <c r="L249" s="94"/>
      <c r="M249" s="77"/>
      <c r="N249" s="43"/>
    </row>
    <row r="250" spans="2:14" ht="14.25" customHeight="1">
      <c r="B250" s="213">
        <v>1.7</v>
      </c>
      <c r="C250" s="214">
        <v>198</v>
      </c>
      <c r="D250" s="213" t="s">
        <v>365</v>
      </c>
      <c r="E250" s="213" t="s">
        <v>214</v>
      </c>
      <c r="F250" s="164" t="s">
        <v>443</v>
      </c>
      <c r="G250" s="77" t="s">
        <v>313</v>
      </c>
      <c r="H250" s="77"/>
      <c r="I250" s="77" t="s">
        <v>313</v>
      </c>
      <c r="J250" s="77"/>
      <c r="K250" s="77"/>
      <c r="L250" s="94"/>
      <c r="M250" s="77"/>
      <c r="N250" s="43"/>
    </row>
    <row r="251" spans="2:14" ht="24.75" customHeight="1">
      <c r="B251" s="201">
        <v>1.7</v>
      </c>
      <c r="C251" s="202" t="s">
        <v>693</v>
      </c>
      <c r="D251" s="201" t="s">
        <v>365</v>
      </c>
      <c r="E251" s="201" t="s">
        <v>214</v>
      </c>
      <c r="F251" s="196" t="s">
        <v>692</v>
      </c>
      <c r="G251" s="77" t="s">
        <v>313</v>
      </c>
      <c r="H251" s="77"/>
      <c r="I251" s="77" t="s">
        <v>313</v>
      </c>
      <c r="J251" s="77" t="s">
        <v>313</v>
      </c>
      <c r="K251" s="77"/>
      <c r="L251" s="94"/>
      <c r="M251" s="77"/>
      <c r="N251" s="43"/>
    </row>
    <row r="252" spans="2:14" ht="24.75" customHeight="1">
      <c r="B252" s="201">
        <v>1.7</v>
      </c>
      <c r="C252" s="202" t="s">
        <v>694</v>
      </c>
      <c r="D252" s="201" t="s">
        <v>365</v>
      </c>
      <c r="E252" s="201" t="s">
        <v>214</v>
      </c>
      <c r="F252" s="196" t="s">
        <v>695</v>
      </c>
      <c r="G252" s="77" t="s">
        <v>313</v>
      </c>
      <c r="H252" s="77"/>
      <c r="I252" s="77" t="s">
        <v>313</v>
      </c>
      <c r="J252" s="77" t="s">
        <v>313</v>
      </c>
      <c r="K252" s="77"/>
      <c r="L252" s="94"/>
      <c r="M252" s="77"/>
      <c r="N252" s="43"/>
    </row>
    <row r="253" spans="1:14" ht="25.5" customHeight="1">
      <c r="A253" s="29">
        <f t="shared" si="13"/>
        <v>1.7</v>
      </c>
      <c r="B253" s="213">
        <v>1.7</v>
      </c>
      <c r="C253" s="214">
        <v>217</v>
      </c>
      <c r="D253" s="213" t="s">
        <v>365</v>
      </c>
      <c r="E253" s="213" t="s">
        <v>214</v>
      </c>
      <c r="F253" s="164" t="s">
        <v>444</v>
      </c>
      <c r="G253" s="77"/>
      <c r="H253" s="77"/>
      <c r="I253" s="77" t="s">
        <v>313</v>
      </c>
      <c r="J253" s="77" t="s">
        <v>313</v>
      </c>
      <c r="K253" s="77"/>
      <c r="L253" s="94"/>
      <c r="M253" s="77"/>
      <c r="N253" s="43"/>
    </row>
    <row r="254" spans="1:14" ht="25.5" customHeight="1">
      <c r="A254" s="29">
        <f t="shared" si="13"/>
        <v>1.31</v>
      </c>
      <c r="B254" s="201">
        <v>1.31</v>
      </c>
      <c r="C254" s="202" t="s">
        <v>588</v>
      </c>
      <c r="D254" s="201" t="s">
        <v>217</v>
      </c>
      <c r="E254" s="201" t="s">
        <v>214</v>
      </c>
      <c r="F254" s="118" t="s">
        <v>587</v>
      </c>
      <c r="G254" s="77"/>
      <c r="H254" s="77"/>
      <c r="I254" s="77" t="s">
        <v>313</v>
      </c>
      <c r="J254" s="77" t="s">
        <v>313</v>
      </c>
      <c r="K254" s="77"/>
      <c r="L254" s="77"/>
      <c r="M254" s="77"/>
      <c r="N254" s="40"/>
    </row>
    <row r="255" spans="1:14" ht="14.25" customHeight="1">
      <c r="A255" s="29">
        <f t="shared" si="13"/>
        <v>1.31</v>
      </c>
      <c r="B255" s="201">
        <v>1.31</v>
      </c>
      <c r="C255" s="202" t="s">
        <v>544</v>
      </c>
      <c r="D255" s="201" t="s">
        <v>217</v>
      </c>
      <c r="E255" s="201" t="s">
        <v>214</v>
      </c>
      <c r="F255" s="118" t="s">
        <v>545</v>
      </c>
      <c r="G255" s="77" t="s">
        <v>313</v>
      </c>
      <c r="H255" s="77"/>
      <c r="I255" s="77" t="s">
        <v>313</v>
      </c>
      <c r="J255" s="77" t="s">
        <v>313</v>
      </c>
      <c r="K255" s="77" t="s">
        <v>313</v>
      </c>
      <c r="L255" s="77"/>
      <c r="M255" s="77"/>
      <c r="N255" s="40"/>
    </row>
    <row r="256" spans="1:14" ht="25.5" customHeight="1">
      <c r="A256" s="29">
        <f t="shared" si="13"/>
        <v>1.8</v>
      </c>
      <c r="B256" s="201">
        <v>1.8</v>
      </c>
      <c r="C256" s="202">
        <v>158</v>
      </c>
      <c r="D256" s="201" t="s">
        <v>217</v>
      </c>
      <c r="E256" s="201" t="s">
        <v>214</v>
      </c>
      <c r="F256" s="118" t="s">
        <v>327</v>
      </c>
      <c r="G256" s="77" t="s">
        <v>313</v>
      </c>
      <c r="H256" s="77"/>
      <c r="I256" s="77" t="s">
        <v>313</v>
      </c>
      <c r="J256" s="77" t="s">
        <v>313</v>
      </c>
      <c r="K256" s="77"/>
      <c r="L256" s="77"/>
      <c r="M256" s="77"/>
      <c r="N256" s="40"/>
    </row>
    <row r="257" spans="1:14" ht="25.5" customHeight="1">
      <c r="A257" s="29">
        <f t="shared" si="13"/>
        <v>1.31</v>
      </c>
      <c r="B257" s="201">
        <v>1.31</v>
      </c>
      <c r="C257" s="202" t="s">
        <v>702</v>
      </c>
      <c r="D257" s="201" t="s">
        <v>217</v>
      </c>
      <c r="E257" s="201" t="s">
        <v>214</v>
      </c>
      <c r="F257" s="118" t="s">
        <v>328</v>
      </c>
      <c r="G257" s="77" t="s">
        <v>313</v>
      </c>
      <c r="H257" s="77"/>
      <c r="I257" s="77" t="s">
        <v>313</v>
      </c>
      <c r="J257" s="77" t="s">
        <v>313</v>
      </c>
      <c r="K257" s="77"/>
      <c r="L257" s="77"/>
      <c r="M257" s="77"/>
      <c r="N257" s="40"/>
    </row>
    <row r="258" spans="1:14" ht="25.5" customHeight="1">
      <c r="A258" s="29">
        <f t="shared" si="13"/>
        <v>1.31</v>
      </c>
      <c r="B258" s="201">
        <v>1.31</v>
      </c>
      <c r="C258" s="202" t="s">
        <v>564</v>
      </c>
      <c r="D258" s="201" t="s">
        <v>217</v>
      </c>
      <c r="E258" s="201" t="s">
        <v>214</v>
      </c>
      <c r="F258" s="118" t="s">
        <v>565</v>
      </c>
      <c r="G258" s="77" t="s">
        <v>313</v>
      </c>
      <c r="H258" s="77"/>
      <c r="I258" s="77" t="s">
        <v>313</v>
      </c>
      <c r="J258" s="77" t="s">
        <v>313</v>
      </c>
      <c r="K258" s="77"/>
      <c r="L258" s="77"/>
      <c r="M258" s="77"/>
      <c r="N258" s="40"/>
    </row>
    <row r="259" spans="1:14" ht="14.25" customHeight="1">
      <c r="A259" s="29">
        <f t="shared" si="13"/>
        <v>1.31</v>
      </c>
      <c r="B259" s="201">
        <v>1.31</v>
      </c>
      <c r="C259" s="202" t="s">
        <v>566</v>
      </c>
      <c r="D259" s="201" t="s">
        <v>217</v>
      </c>
      <c r="E259" s="201" t="s">
        <v>214</v>
      </c>
      <c r="F259" s="118" t="s">
        <v>567</v>
      </c>
      <c r="G259" s="77" t="s">
        <v>313</v>
      </c>
      <c r="H259" s="77"/>
      <c r="I259" s="77" t="s">
        <v>313</v>
      </c>
      <c r="J259" s="77" t="s">
        <v>313</v>
      </c>
      <c r="K259" s="77"/>
      <c r="L259" s="77"/>
      <c r="M259" s="77"/>
      <c r="N259" s="40"/>
    </row>
    <row r="260" spans="1:14" ht="24" customHeight="1">
      <c r="A260" s="29">
        <f t="shared" si="13"/>
        <v>1.31</v>
      </c>
      <c r="B260" s="201">
        <v>1.31</v>
      </c>
      <c r="C260" s="202" t="s">
        <v>560</v>
      </c>
      <c r="D260" s="201" t="s">
        <v>217</v>
      </c>
      <c r="E260" s="201" t="s">
        <v>214</v>
      </c>
      <c r="F260" s="118" t="s">
        <v>561</v>
      </c>
      <c r="G260" s="77" t="s">
        <v>313</v>
      </c>
      <c r="H260" s="77"/>
      <c r="I260" s="77" t="s">
        <v>313</v>
      </c>
      <c r="J260" s="77" t="s">
        <v>313</v>
      </c>
      <c r="K260" s="77" t="s">
        <v>313</v>
      </c>
      <c r="L260" s="77"/>
      <c r="M260" s="77"/>
      <c r="N260" s="40"/>
    </row>
    <row r="261" spans="1:14" ht="25.5" customHeight="1">
      <c r="A261" s="29">
        <f t="shared" si="13"/>
        <v>1.8</v>
      </c>
      <c r="B261" s="201">
        <v>1.8</v>
      </c>
      <c r="C261" s="202">
        <v>160</v>
      </c>
      <c r="D261" s="201" t="s">
        <v>217</v>
      </c>
      <c r="E261" s="201" t="s">
        <v>214</v>
      </c>
      <c r="F261" s="118" t="s">
        <v>329</v>
      </c>
      <c r="G261" s="77"/>
      <c r="H261" s="77"/>
      <c r="I261" s="77" t="s">
        <v>313</v>
      </c>
      <c r="J261" s="77" t="s">
        <v>313</v>
      </c>
      <c r="K261" s="77"/>
      <c r="L261" s="77"/>
      <c r="M261" s="77"/>
      <c r="N261" s="40"/>
    </row>
    <row r="262" spans="1:14" ht="25.5" customHeight="1">
      <c r="A262" s="29">
        <f t="shared" si="13"/>
        <v>1.8</v>
      </c>
      <c r="B262" s="201">
        <v>1.8</v>
      </c>
      <c r="C262" s="202">
        <v>159</v>
      </c>
      <c r="D262" s="201" t="s">
        <v>217</v>
      </c>
      <c r="E262" s="201" t="s">
        <v>214</v>
      </c>
      <c r="F262" s="118" t="s">
        <v>294</v>
      </c>
      <c r="G262" s="77"/>
      <c r="H262" s="77"/>
      <c r="I262" s="77" t="s">
        <v>313</v>
      </c>
      <c r="J262" s="77" t="s">
        <v>313</v>
      </c>
      <c r="K262" s="77"/>
      <c r="L262" s="77"/>
      <c r="M262" s="77"/>
      <c r="N262" s="40"/>
    </row>
    <row r="263" spans="1:14" ht="14.25" customHeight="1">
      <c r="A263" s="29">
        <f t="shared" si="13"/>
        <v>1.31</v>
      </c>
      <c r="B263" s="201">
        <v>1.31</v>
      </c>
      <c r="C263" s="202" t="s">
        <v>568</v>
      </c>
      <c r="D263" s="201" t="s">
        <v>217</v>
      </c>
      <c r="E263" s="201" t="s">
        <v>214</v>
      </c>
      <c r="F263" s="174" t="s">
        <v>569</v>
      </c>
      <c r="G263" s="77" t="s">
        <v>313</v>
      </c>
      <c r="H263" s="77"/>
      <c r="I263" s="77" t="s">
        <v>313</v>
      </c>
      <c r="J263" s="77" t="s">
        <v>313</v>
      </c>
      <c r="K263" s="77"/>
      <c r="L263" s="77"/>
      <c r="M263" s="77"/>
      <c r="N263" s="40"/>
    </row>
    <row r="264" spans="1:14" ht="14.25" customHeight="1">
      <c r="A264" s="29">
        <f t="shared" si="13"/>
        <v>1.31</v>
      </c>
      <c r="B264" s="201">
        <v>1.31</v>
      </c>
      <c r="C264" s="202" t="s">
        <v>575</v>
      </c>
      <c r="D264" s="201" t="s">
        <v>217</v>
      </c>
      <c r="E264" s="201" t="s">
        <v>214</v>
      </c>
      <c r="F264" s="118" t="s">
        <v>577</v>
      </c>
      <c r="G264" s="77" t="s">
        <v>313</v>
      </c>
      <c r="H264" s="77"/>
      <c r="I264" s="77" t="s">
        <v>313</v>
      </c>
      <c r="J264" s="77" t="s">
        <v>313</v>
      </c>
      <c r="K264" s="77" t="s">
        <v>313</v>
      </c>
      <c r="L264" s="77"/>
      <c r="M264" s="77"/>
      <c r="N264" s="40"/>
    </row>
    <row r="265" spans="1:14" ht="14.25" customHeight="1">
      <c r="A265" s="29">
        <f t="shared" si="13"/>
        <v>1.31</v>
      </c>
      <c r="B265" s="201">
        <v>1.31</v>
      </c>
      <c r="C265" s="202" t="s">
        <v>578</v>
      </c>
      <c r="D265" s="201" t="s">
        <v>217</v>
      </c>
      <c r="E265" s="201" t="s">
        <v>214</v>
      </c>
      <c r="F265" s="118" t="s">
        <v>579</v>
      </c>
      <c r="G265" s="77" t="s">
        <v>313</v>
      </c>
      <c r="H265" s="77"/>
      <c r="I265" s="77" t="s">
        <v>313</v>
      </c>
      <c r="J265" s="77" t="s">
        <v>313</v>
      </c>
      <c r="K265" s="77"/>
      <c r="L265" s="77"/>
      <c r="M265" s="77"/>
      <c r="N265" s="40"/>
    </row>
    <row r="266" spans="1:14" ht="14.25" customHeight="1">
      <c r="A266" s="29">
        <f t="shared" si="13"/>
        <v>1.31</v>
      </c>
      <c r="B266" s="201">
        <v>1.31</v>
      </c>
      <c r="C266" s="202" t="s">
        <v>574</v>
      </c>
      <c r="D266" s="201" t="s">
        <v>217</v>
      </c>
      <c r="E266" s="201" t="s">
        <v>214</v>
      </c>
      <c r="F266" s="118" t="s">
        <v>576</v>
      </c>
      <c r="G266" s="77" t="s">
        <v>313</v>
      </c>
      <c r="H266" s="77"/>
      <c r="I266" s="77" t="s">
        <v>313</v>
      </c>
      <c r="J266" s="77" t="s">
        <v>313</v>
      </c>
      <c r="K266" s="77"/>
      <c r="L266" s="77"/>
      <c r="M266" s="77"/>
      <c r="N266" s="40"/>
    </row>
    <row r="267" spans="1:14" ht="25.5" customHeight="1">
      <c r="A267" s="29">
        <f t="shared" si="13"/>
        <v>1.31</v>
      </c>
      <c r="B267" s="201">
        <v>1.31</v>
      </c>
      <c r="C267" s="202" t="s">
        <v>540</v>
      </c>
      <c r="D267" s="201" t="s">
        <v>217</v>
      </c>
      <c r="E267" s="201" t="s">
        <v>214</v>
      </c>
      <c r="F267" s="118" t="s">
        <v>541</v>
      </c>
      <c r="G267" s="77" t="s">
        <v>313</v>
      </c>
      <c r="H267" s="77"/>
      <c r="I267" s="77" t="s">
        <v>313</v>
      </c>
      <c r="J267" s="77" t="s">
        <v>313</v>
      </c>
      <c r="K267" s="77"/>
      <c r="L267" s="77"/>
      <c r="M267" s="77"/>
      <c r="N267" s="40"/>
    </row>
    <row r="268" spans="1:14" ht="24" customHeight="1">
      <c r="A268" s="29">
        <f t="shared" si="13"/>
        <v>1.31</v>
      </c>
      <c r="B268" s="201">
        <v>1.31</v>
      </c>
      <c r="C268" s="202" t="s">
        <v>542</v>
      </c>
      <c r="D268" s="201" t="s">
        <v>217</v>
      </c>
      <c r="E268" s="201" t="s">
        <v>214</v>
      </c>
      <c r="F268" s="118" t="s">
        <v>543</v>
      </c>
      <c r="G268" s="77" t="s">
        <v>313</v>
      </c>
      <c r="H268" s="77"/>
      <c r="I268" s="77" t="s">
        <v>313</v>
      </c>
      <c r="J268" s="77" t="s">
        <v>313</v>
      </c>
      <c r="K268" s="77"/>
      <c r="L268" s="77"/>
      <c r="M268" s="77"/>
      <c r="N268" s="40"/>
    </row>
    <row r="269" spans="1:14" ht="25.5" customHeight="1">
      <c r="A269" s="29">
        <f t="shared" si="13"/>
        <v>1.8</v>
      </c>
      <c r="B269" s="201">
        <v>1.8</v>
      </c>
      <c r="C269" s="202">
        <v>141</v>
      </c>
      <c r="D269" s="201" t="s">
        <v>217</v>
      </c>
      <c r="E269" s="201" t="s">
        <v>214</v>
      </c>
      <c r="F269" s="118" t="s">
        <v>296</v>
      </c>
      <c r="G269" s="77" t="s">
        <v>313</v>
      </c>
      <c r="H269" s="77"/>
      <c r="I269" s="77" t="s">
        <v>313</v>
      </c>
      <c r="J269" s="77" t="s">
        <v>313</v>
      </c>
      <c r="K269" s="77"/>
      <c r="L269" s="77"/>
      <c r="M269" s="77"/>
      <c r="N269" s="40"/>
    </row>
    <row r="270" spans="1:14" ht="30" customHeight="1">
      <c r="A270" s="29">
        <f t="shared" si="13"/>
        <v>1.31</v>
      </c>
      <c r="B270" s="201">
        <v>1.31</v>
      </c>
      <c r="C270" s="202" t="s">
        <v>570</v>
      </c>
      <c r="D270" s="201" t="s">
        <v>217</v>
      </c>
      <c r="E270" s="201" t="s">
        <v>214</v>
      </c>
      <c r="F270" s="118" t="s">
        <v>572</v>
      </c>
      <c r="G270" s="77" t="s">
        <v>313</v>
      </c>
      <c r="H270" s="77"/>
      <c r="I270" s="77" t="s">
        <v>313</v>
      </c>
      <c r="J270" s="77" t="s">
        <v>313</v>
      </c>
      <c r="K270" s="77"/>
      <c r="L270" s="77"/>
      <c r="M270" s="77"/>
      <c r="N270" s="40"/>
    </row>
    <row r="271" spans="1:14" ht="14.25" customHeight="1">
      <c r="A271" s="29">
        <f t="shared" si="13"/>
        <v>1.31</v>
      </c>
      <c r="B271" s="201">
        <v>1.31</v>
      </c>
      <c r="C271" s="202" t="s">
        <v>552</v>
      </c>
      <c r="D271" s="201" t="s">
        <v>217</v>
      </c>
      <c r="E271" s="201" t="s">
        <v>214</v>
      </c>
      <c r="F271" s="118" t="s">
        <v>297</v>
      </c>
      <c r="G271" s="77" t="s">
        <v>313</v>
      </c>
      <c r="H271" s="77"/>
      <c r="I271" s="77" t="s">
        <v>313</v>
      </c>
      <c r="J271" s="77" t="s">
        <v>313</v>
      </c>
      <c r="K271" s="77"/>
      <c r="L271" s="94"/>
      <c r="M271" s="77"/>
      <c r="N271" s="43"/>
    </row>
    <row r="272" spans="1:14" ht="14.25" customHeight="1">
      <c r="A272" s="29">
        <f t="shared" si="13"/>
        <v>1.31</v>
      </c>
      <c r="B272" s="201">
        <v>1.31</v>
      </c>
      <c r="C272" s="202" t="s">
        <v>554</v>
      </c>
      <c r="D272" s="201" t="s">
        <v>217</v>
      </c>
      <c r="E272" s="201" t="s">
        <v>214</v>
      </c>
      <c r="F272" s="118" t="s">
        <v>298</v>
      </c>
      <c r="G272" s="77" t="s">
        <v>313</v>
      </c>
      <c r="H272" s="77"/>
      <c r="I272" s="77" t="s">
        <v>313</v>
      </c>
      <c r="J272" s="77" t="s">
        <v>313</v>
      </c>
      <c r="K272" s="77"/>
      <c r="L272" s="94"/>
      <c r="M272" s="77"/>
      <c r="N272" s="43"/>
    </row>
    <row r="273" spans="1:14" ht="14.25" customHeight="1">
      <c r="A273" s="29">
        <f t="shared" si="13"/>
        <v>1.31</v>
      </c>
      <c r="B273" s="201">
        <v>1.31</v>
      </c>
      <c r="C273" s="202" t="s">
        <v>553</v>
      </c>
      <c r="D273" s="201" t="s">
        <v>217</v>
      </c>
      <c r="E273" s="201" t="s">
        <v>214</v>
      </c>
      <c r="F273" s="118" t="s">
        <v>203</v>
      </c>
      <c r="G273" s="77" t="s">
        <v>313</v>
      </c>
      <c r="H273" s="77"/>
      <c r="I273" s="77" t="s">
        <v>313</v>
      </c>
      <c r="J273" s="77" t="s">
        <v>313</v>
      </c>
      <c r="K273" s="77"/>
      <c r="L273" s="94"/>
      <c r="M273" s="77"/>
      <c r="N273" s="43"/>
    </row>
    <row r="274" spans="1:14" ht="14.25" customHeight="1">
      <c r="A274" s="29">
        <f t="shared" si="13"/>
        <v>1.31</v>
      </c>
      <c r="B274" s="201">
        <v>1.31</v>
      </c>
      <c r="C274" s="202" t="s">
        <v>549</v>
      </c>
      <c r="D274" s="201" t="s">
        <v>217</v>
      </c>
      <c r="E274" s="201" t="s">
        <v>214</v>
      </c>
      <c r="F274" s="118" t="s">
        <v>251</v>
      </c>
      <c r="G274" s="77" t="s">
        <v>313</v>
      </c>
      <c r="H274" s="77"/>
      <c r="I274" s="77" t="s">
        <v>313</v>
      </c>
      <c r="J274" s="77" t="s">
        <v>313</v>
      </c>
      <c r="K274" s="77"/>
      <c r="L274" s="94"/>
      <c r="M274" s="77"/>
      <c r="N274" s="43"/>
    </row>
    <row r="275" spans="1:14" ht="14.25" customHeight="1">
      <c r="A275" s="29">
        <f t="shared" si="13"/>
        <v>1.31</v>
      </c>
      <c r="B275" s="201">
        <v>1.31</v>
      </c>
      <c r="C275" s="202" t="s">
        <v>546</v>
      </c>
      <c r="D275" s="201" t="s">
        <v>217</v>
      </c>
      <c r="E275" s="201" t="s">
        <v>214</v>
      </c>
      <c r="F275" s="118" t="s">
        <v>35</v>
      </c>
      <c r="G275" s="77"/>
      <c r="H275" s="77"/>
      <c r="I275" s="77" t="s">
        <v>313</v>
      </c>
      <c r="J275" s="77" t="s">
        <v>313</v>
      </c>
      <c r="K275" s="77"/>
      <c r="L275" s="94"/>
      <c r="M275" s="77"/>
      <c r="N275" s="43"/>
    </row>
    <row r="276" spans="1:14" ht="14.25" customHeight="1">
      <c r="A276" s="29">
        <f t="shared" si="13"/>
        <v>1.31</v>
      </c>
      <c r="B276" s="201">
        <v>1.31</v>
      </c>
      <c r="C276" s="202" t="s">
        <v>538</v>
      </c>
      <c r="D276" s="201" t="s">
        <v>217</v>
      </c>
      <c r="E276" s="201" t="s">
        <v>214</v>
      </c>
      <c r="F276" s="118" t="s">
        <v>74</v>
      </c>
      <c r="G276" s="77" t="s">
        <v>313</v>
      </c>
      <c r="H276" s="77"/>
      <c r="I276" s="77" t="s">
        <v>313</v>
      </c>
      <c r="J276" s="77" t="s">
        <v>313</v>
      </c>
      <c r="K276" s="77"/>
      <c r="L276" s="94"/>
      <c r="M276" s="77"/>
      <c r="N276" s="43"/>
    </row>
    <row r="277" spans="1:14" ht="14.25" customHeight="1">
      <c r="A277" s="29">
        <f t="shared" si="13"/>
        <v>1.31</v>
      </c>
      <c r="B277" s="201">
        <v>1.31</v>
      </c>
      <c r="C277" s="202" t="s">
        <v>539</v>
      </c>
      <c r="D277" s="201" t="s">
        <v>217</v>
      </c>
      <c r="E277" s="201" t="s">
        <v>214</v>
      </c>
      <c r="F277" s="118" t="s">
        <v>241</v>
      </c>
      <c r="G277" s="77" t="s">
        <v>313</v>
      </c>
      <c r="H277" s="77"/>
      <c r="I277" s="77" t="s">
        <v>313</v>
      </c>
      <c r="J277" s="77" t="s">
        <v>313</v>
      </c>
      <c r="K277" s="77"/>
      <c r="L277" s="94"/>
      <c r="M277" s="77"/>
      <c r="N277" s="43"/>
    </row>
    <row r="278" spans="1:14" ht="17.25" customHeight="1">
      <c r="A278" s="29">
        <f t="shared" si="13"/>
        <v>1.31</v>
      </c>
      <c r="B278" s="201">
        <v>1.31</v>
      </c>
      <c r="C278" s="202" t="s">
        <v>547</v>
      </c>
      <c r="D278" s="201" t="s">
        <v>217</v>
      </c>
      <c r="E278" s="201" t="s">
        <v>214</v>
      </c>
      <c r="F278" s="118" t="s">
        <v>548</v>
      </c>
      <c r="G278" s="77" t="s">
        <v>313</v>
      </c>
      <c r="H278" s="77"/>
      <c r="I278" s="77" t="s">
        <v>313</v>
      </c>
      <c r="J278" s="77" t="s">
        <v>313</v>
      </c>
      <c r="K278" s="77"/>
      <c r="L278" s="94"/>
      <c r="M278" s="77"/>
      <c r="N278" s="43"/>
    </row>
    <row r="279" spans="1:14" ht="25.5" customHeight="1">
      <c r="A279" s="29">
        <f t="shared" si="13"/>
        <v>1.31</v>
      </c>
      <c r="B279" s="201">
        <v>1.31</v>
      </c>
      <c r="C279" s="202" t="s">
        <v>528</v>
      </c>
      <c r="D279" s="201" t="s">
        <v>217</v>
      </c>
      <c r="E279" s="201" t="s">
        <v>214</v>
      </c>
      <c r="F279" s="118" t="s">
        <v>529</v>
      </c>
      <c r="G279" s="77" t="s">
        <v>313</v>
      </c>
      <c r="H279" s="77"/>
      <c r="I279" s="77" t="s">
        <v>313</v>
      </c>
      <c r="J279" s="77" t="s">
        <v>313</v>
      </c>
      <c r="K279" s="77"/>
      <c r="L279" s="94"/>
      <c r="M279" s="77"/>
      <c r="N279" s="43"/>
    </row>
    <row r="280" spans="1:14" ht="21.75" customHeight="1">
      <c r="A280" s="29">
        <f aca="true" t="shared" si="14" ref="A280:A285">B280</f>
        <v>1.31</v>
      </c>
      <c r="B280" s="201">
        <v>1.31</v>
      </c>
      <c r="C280" s="202" t="s">
        <v>562</v>
      </c>
      <c r="D280" s="201" t="s">
        <v>217</v>
      </c>
      <c r="E280" s="201" t="s">
        <v>214</v>
      </c>
      <c r="F280" s="118" t="s">
        <v>563</v>
      </c>
      <c r="G280" s="77" t="s">
        <v>313</v>
      </c>
      <c r="H280" s="77"/>
      <c r="I280" s="77" t="s">
        <v>313</v>
      </c>
      <c r="J280" s="77" t="s">
        <v>313</v>
      </c>
      <c r="K280" s="77"/>
      <c r="L280" s="94"/>
      <c r="M280" s="77"/>
      <c r="N280" s="43"/>
    </row>
    <row r="281" spans="1:14" ht="27" customHeight="1">
      <c r="A281" s="29">
        <f t="shared" si="14"/>
        <v>1.31</v>
      </c>
      <c r="B281" s="201">
        <v>1.31</v>
      </c>
      <c r="C281" s="202" t="s">
        <v>571</v>
      </c>
      <c r="D281" s="201" t="s">
        <v>217</v>
      </c>
      <c r="E281" s="201" t="s">
        <v>214</v>
      </c>
      <c r="F281" s="118" t="s">
        <v>573</v>
      </c>
      <c r="G281" s="77" t="s">
        <v>313</v>
      </c>
      <c r="H281" s="77"/>
      <c r="I281" s="77" t="s">
        <v>313</v>
      </c>
      <c r="J281" s="77" t="s">
        <v>313</v>
      </c>
      <c r="K281" s="77"/>
      <c r="L281" s="94"/>
      <c r="M281" s="77"/>
      <c r="N281" s="43"/>
    </row>
    <row r="282" spans="1:14" ht="25.5" customHeight="1">
      <c r="A282" s="29">
        <f t="shared" si="14"/>
        <v>1.31</v>
      </c>
      <c r="B282" s="201">
        <v>1.31</v>
      </c>
      <c r="C282" s="202" t="s">
        <v>590</v>
      </c>
      <c r="D282" s="201" t="s">
        <v>217</v>
      </c>
      <c r="E282" s="201" t="s">
        <v>214</v>
      </c>
      <c r="F282" s="118" t="s">
        <v>589</v>
      </c>
      <c r="G282" s="77" t="s">
        <v>313</v>
      </c>
      <c r="H282" s="77"/>
      <c r="I282" s="77" t="s">
        <v>313</v>
      </c>
      <c r="J282" s="77" t="s">
        <v>313</v>
      </c>
      <c r="K282" s="77"/>
      <c r="L282" s="94"/>
      <c r="M282" s="77"/>
      <c r="N282" s="43"/>
    </row>
    <row r="283" spans="1:14" ht="25.5" customHeight="1">
      <c r="A283" s="29">
        <f t="shared" si="14"/>
        <v>1.31</v>
      </c>
      <c r="B283" s="201">
        <v>1.31</v>
      </c>
      <c r="C283" s="202" t="s">
        <v>550</v>
      </c>
      <c r="D283" s="201" t="s">
        <v>217</v>
      </c>
      <c r="E283" s="201" t="s">
        <v>214</v>
      </c>
      <c r="F283" s="118" t="s">
        <v>551</v>
      </c>
      <c r="G283" s="77" t="s">
        <v>313</v>
      </c>
      <c r="H283" s="77"/>
      <c r="I283" s="77" t="s">
        <v>313</v>
      </c>
      <c r="J283" s="77" t="s">
        <v>313</v>
      </c>
      <c r="K283" s="77"/>
      <c r="L283" s="94"/>
      <c r="M283" s="77"/>
      <c r="N283" s="43"/>
    </row>
    <row r="284" spans="1:14" ht="25.5" customHeight="1">
      <c r="A284" s="29">
        <f t="shared" si="14"/>
        <v>1.31</v>
      </c>
      <c r="B284" s="201">
        <v>1.31</v>
      </c>
      <c r="C284" s="202" t="s">
        <v>555</v>
      </c>
      <c r="D284" s="201" t="s">
        <v>217</v>
      </c>
      <c r="E284" s="201" t="s">
        <v>214</v>
      </c>
      <c r="F284" s="118" t="s">
        <v>282</v>
      </c>
      <c r="G284" s="77" t="s">
        <v>313</v>
      </c>
      <c r="H284" s="77"/>
      <c r="I284" s="77" t="s">
        <v>313</v>
      </c>
      <c r="J284" s="77" t="s">
        <v>313</v>
      </c>
      <c r="K284" s="77"/>
      <c r="L284" s="94"/>
      <c r="M284" s="77"/>
      <c r="N284" s="43"/>
    </row>
    <row r="285" spans="1:14" ht="25.5" customHeight="1">
      <c r="A285" s="29">
        <f t="shared" si="14"/>
        <v>1.31</v>
      </c>
      <c r="B285" s="201">
        <v>1.31</v>
      </c>
      <c r="C285" s="202" t="s">
        <v>558</v>
      </c>
      <c r="D285" s="201" t="s">
        <v>217</v>
      </c>
      <c r="E285" s="201" t="s">
        <v>214</v>
      </c>
      <c r="F285" s="118" t="s">
        <v>559</v>
      </c>
      <c r="G285" s="77" t="s">
        <v>313</v>
      </c>
      <c r="H285" s="77"/>
      <c r="I285" s="77" t="s">
        <v>313</v>
      </c>
      <c r="J285" s="77" t="s">
        <v>313</v>
      </c>
      <c r="K285" s="77"/>
      <c r="L285" s="94"/>
      <c r="M285" s="77"/>
      <c r="N285" s="43"/>
    </row>
    <row r="286" spans="2:14" ht="25.5" customHeight="1">
      <c r="B286" s="201">
        <v>1.31</v>
      </c>
      <c r="C286" s="202" t="s">
        <v>556</v>
      </c>
      <c r="D286" s="201" t="s">
        <v>217</v>
      </c>
      <c r="E286" s="201" t="s">
        <v>214</v>
      </c>
      <c r="F286" s="118" t="s">
        <v>557</v>
      </c>
      <c r="G286" s="77" t="s">
        <v>313</v>
      </c>
      <c r="H286" s="77"/>
      <c r="I286" s="77" t="s">
        <v>313</v>
      </c>
      <c r="J286" s="77" t="s">
        <v>313</v>
      </c>
      <c r="K286" s="77"/>
      <c r="L286" s="94"/>
      <c r="M286" s="77"/>
      <c r="N286" s="43"/>
    </row>
    <row r="287" spans="1:17" s="14" customFormat="1" ht="0" customHeight="1" hidden="1">
      <c r="A287" s="32"/>
      <c r="B287" s="204"/>
      <c r="C287" s="206" t="s">
        <v>321</v>
      </c>
      <c r="D287" s="206"/>
      <c r="E287" s="205"/>
      <c r="F287" s="124"/>
      <c r="G287" s="83"/>
      <c r="H287" s="83"/>
      <c r="I287" s="83"/>
      <c r="J287" s="84"/>
      <c r="K287" s="83"/>
      <c r="L287" s="94"/>
      <c r="M287" s="77"/>
      <c r="N287" s="43"/>
      <c r="O287" s="1"/>
      <c r="P287" s="1"/>
      <c r="Q287" s="2"/>
    </row>
    <row r="288" spans="2:14" ht="15" customHeight="1">
      <c r="B288" s="230"/>
      <c r="C288" s="239" t="s">
        <v>309</v>
      </c>
      <c r="D288" s="237">
        <f>1!E21</f>
        <v>17</v>
      </c>
      <c r="E288" s="231" t="s">
        <v>283</v>
      </c>
      <c r="F288" s="136" t="s">
        <v>284</v>
      </c>
      <c r="G288" s="95"/>
      <c r="H288" s="96"/>
      <c r="I288" s="97"/>
      <c r="J288" s="97"/>
      <c r="K288" s="97"/>
      <c r="L288" s="94"/>
      <c r="M288" s="77"/>
      <c r="N288" s="43"/>
    </row>
    <row r="289" spans="1:14" ht="14.25" customHeight="1">
      <c r="A289" s="29">
        <f>B289</f>
        <v>1.7</v>
      </c>
      <c r="B289" s="211">
        <v>1.7</v>
      </c>
      <c r="C289" s="212">
        <v>180</v>
      </c>
      <c r="D289" s="211" t="s">
        <v>365</v>
      </c>
      <c r="E289" s="211" t="s">
        <v>283</v>
      </c>
      <c r="F289" s="169" t="s">
        <v>455</v>
      </c>
      <c r="G289" s="77" t="s">
        <v>313</v>
      </c>
      <c r="H289" s="77"/>
      <c r="I289" s="77" t="s">
        <v>313</v>
      </c>
      <c r="J289" s="77" t="s">
        <v>313</v>
      </c>
      <c r="K289" s="77"/>
      <c r="L289" s="94"/>
      <c r="M289" s="77"/>
      <c r="N289" s="43"/>
    </row>
    <row r="290" spans="2:14" ht="25.5" customHeight="1">
      <c r="B290" s="201">
        <v>1.31</v>
      </c>
      <c r="C290" s="202" t="s">
        <v>661</v>
      </c>
      <c r="D290" s="235" t="s">
        <v>217</v>
      </c>
      <c r="E290" s="201" t="s">
        <v>283</v>
      </c>
      <c r="F290" s="146" t="s">
        <v>662</v>
      </c>
      <c r="G290" s="77" t="s">
        <v>313</v>
      </c>
      <c r="H290" s="77"/>
      <c r="I290" s="77" t="s">
        <v>313</v>
      </c>
      <c r="J290" s="77" t="s">
        <v>313</v>
      </c>
      <c r="K290" s="77"/>
      <c r="L290" s="94"/>
      <c r="M290" s="77"/>
      <c r="N290" s="43"/>
    </row>
    <row r="291" spans="1:14" ht="14.25" customHeight="1">
      <c r="A291" s="29">
        <f>B291</f>
        <v>1.6</v>
      </c>
      <c r="B291" s="201">
        <v>1.6</v>
      </c>
      <c r="C291" s="202">
        <v>1890</v>
      </c>
      <c r="D291" s="201" t="s">
        <v>217</v>
      </c>
      <c r="E291" s="201" t="s">
        <v>283</v>
      </c>
      <c r="F291" s="118" t="s">
        <v>246</v>
      </c>
      <c r="G291" s="77" t="s">
        <v>313</v>
      </c>
      <c r="H291" s="77"/>
      <c r="I291" s="77" t="s">
        <v>313</v>
      </c>
      <c r="J291" s="77" t="s">
        <v>313</v>
      </c>
      <c r="K291" s="77"/>
      <c r="L291" s="94"/>
      <c r="M291" s="77"/>
      <c r="N291" s="43"/>
    </row>
    <row r="292" spans="1:14" ht="25.5" customHeight="1">
      <c r="A292" s="29">
        <f aca="true" t="shared" si="15" ref="A292:A304">B292</f>
        <v>1.7</v>
      </c>
      <c r="B292" s="201">
        <v>1.7</v>
      </c>
      <c r="C292" s="202" t="s">
        <v>684</v>
      </c>
      <c r="D292" s="201" t="s">
        <v>365</v>
      </c>
      <c r="E292" s="201" t="s">
        <v>283</v>
      </c>
      <c r="F292" s="118" t="s">
        <v>98</v>
      </c>
      <c r="G292" s="77" t="s">
        <v>313</v>
      </c>
      <c r="H292" s="77"/>
      <c r="I292" s="77" t="s">
        <v>313</v>
      </c>
      <c r="J292" s="77" t="s">
        <v>313</v>
      </c>
      <c r="K292" s="77"/>
      <c r="L292" s="94"/>
      <c r="M292" s="77" t="s">
        <v>313</v>
      </c>
      <c r="N292" s="43"/>
    </row>
    <row r="293" spans="1:14" ht="25.5" customHeight="1">
      <c r="A293" s="29">
        <f t="shared" si="15"/>
        <v>1.7</v>
      </c>
      <c r="B293" s="201">
        <v>1.7</v>
      </c>
      <c r="C293" s="202" t="s">
        <v>683</v>
      </c>
      <c r="D293" s="201" t="s">
        <v>365</v>
      </c>
      <c r="E293" s="201" t="s">
        <v>283</v>
      </c>
      <c r="F293" s="118" t="s">
        <v>454</v>
      </c>
      <c r="G293" s="77" t="s">
        <v>313</v>
      </c>
      <c r="H293" s="77"/>
      <c r="I293" s="77" t="s">
        <v>313</v>
      </c>
      <c r="J293" s="77" t="s">
        <v>313</v>
      </c>
      <c r="K293" s="77"/>
      <c r="L293" s="94"/>
      <c r="M293" s="77" t="s">
        <v>313</v>
      </c>
      <c r="N293" s="43"/>
    </row>
    <row r="294" spans="1:14" ht="14.25" customHeight="1">
      <c r="A294" s="29">
        <f t="shared" si="15"/>
        <v>1.7</v>
      </c>
      <c r="B294" s="201">
        <v>1.7</v>
      </c>
      <c r="C294" s="202">
        <v>27</v>
      </c>
      <c r="D294" s="201" t="s">
        <v>365</v>
      </c>
      <c r="E294" s="201" t="s">
        <v>283</v>
      </c>
      <c r="F294" s="118" t="s">
        <v>57</v>
      </c>
      <c r="G294" s="77" t="s">
        <v>313</v>
      </c>
      <c r="H294" s="77"/>
      <c r="I294" s="77" t="s">
        <v>313</v>
      </c>
      <c r="J294" s="77" t="s">
        <v>313</v>
      </c>
      <c r="K294" s="77" t="s">
        <v>313</v>
      </c>
      <c r="L294" s="94"/>
      <c r="M294" s="77"/>
      <c r="N294" s="43"/>
    </row>
    <row r="295" spans="2:14" ht="14.25" customHeight="1">
      <c r="B295" s="201">
        <v>1.7</v>
      </c>
      <c r="C295" s="202" t="s">
        <v>681</v>
      </c>
      <c r="D295" s="201" t="s">
        <v>365</v>
      </c>
      <c r="E295" s="201" t="s">
        <v>283</v>
      </c>
      <c r="F295" s="194" t="s">
        <v>682</v>
      </c>
      <c r="G295" s="77" t="s">
        <v>313</v>
      </c>
      <c r="H295" s="77"/>
      <c r="I295" s="77" t="s">
        <v>313</v>
      </c>
      <c r="J295" s="77" t="s">
        <v>313</v>
      </c>
      <c r="K295" s="77"/>
      <c r="L295" s="94"/>
      <c r="M295" s="77"/>
      <c r="N295" s="43"/>
    </row>
    <row r="296" spans="1:14" ht="25.5" customHeight="1">
      <c r="A296" s="29">
        <f t="shared" si="15"/>
        <v>1.7</v>
      </c>
      <c r="B296" s="201">
        <v>1.7</v>
      </c>
      <c r="C296" s="202" t="s">
        <v>680</v>
      </c>
      <c r="D296" s="201" t="s">
        <v>365</v>
      </c>
      <c r="E296" s="201" t="s">
        <v>283</v>
      </c>
      <c r="F296" s="118" t="s">
        <v>99</v>
      </c>
      <c r="G296" s="77" t="s">
        <v>313</v>
      </c>
      <c r="H296" s="77"/>
      <c r="I296" s="77" t="s">
        <v>313</v>
      </c>
      <c r="J296" s="77" t="s">
        <v>313</v>
      </c>
      <c r="K296" s="77"/>
      <c r="L296" s="94"/>
      <c r="M296" s="77"/>
      <c r="N296" s="43"/>
    </row>
    <row r="297" spans="1:14" ht="25.5" customHeight="1">
      <c r="A297" s="29">
        <f t="shared" si="15"/>
        <v>1.31</v>
      </c>
      <c r="B297" s="201">
        <v>1.31</v>
      </c>
      <c r="C297" s="202" t="s">
        <v>516</v>
      </c>
      <c r="D297" s="201" t="s">
        <v>217</v>
      </c>
      <c r="E297" s="201" t="s">
        <v>283</v>
      </c>
      <c r="F297" s="118" t="s">
        <v>517</v>
      </c>
      <c r="G297" s="77" t="s">
        <v>313</v>
      </c>
      <c r="H297" s="77"/>
      <c r="I297" s="77" t="s">
        <v>313</v>
      </c>
      <c r="J297" s="77" t="s">
        <v>313</v>
      </c>
      <c r="K297" s="77"/>
      <c r="L297" s="94"/>
      <c r="M297" s="77"/>
      <c r="N297" s="43"/>
    </row>
    <row r="298" spans="1:14" ht="27" customHeight="1">
      <c r="A298" s="29">
        <f t="shared" si="15"/>
        <v>1.31</v>
      </c>
      <c r="B298" s="201">
        <v>1.31</v>
      </c>
      <c r="C298" s="202" t="s">
        <v>524</v>
      </c>
      <c r="D298" s="201" t="s">
        <v>217</v>
      </c>
      <c r="E298" s="201" t="s">
        <v>283</v>
      </c>
      <c r="F298" s="118" t="s">
        <v>527</v>
      </c>
      <c r="G298" s="77" t="s">
        <v>313</v>
      </c>
      <c r="H298" s="77"/>
      <c r="I298" s="77" t="s">
        <v>313</v>
      </c>
      <c r="J298" s="77" t="s">
        <v>313</v>
      </c>
      <c r="K298" s="77"/>
      <c r="L298" s="94"/>
      <c r="M298" s="77"/>
      <c r="N298" s="43"/>
    </row>
    <row r="299" spans="1:14" ht="26.25" customHeight="1">
      <c r="A299" s="29">
        <f t="shared" si="15"/>
        <v>1.31</v>
      </c>
      <c r="B299" s="213">
        <v>1.31</v>
      </c>
      <c r="C299" s="214" t="s">
        <v>525</v>
      </c>
      <c r="D299" s="213" t="s">
        <v>217</v>
      </c>
      <c r="E299" s="213" t="s">
        <v>283</v>
      </c>
      <c r="F299" s="164" t="s">
        <v>526</v>
      </c>
      <c r="G299" s="77"/>
      <c r="H299" s="77"/>
      <c r="I299" s="77" t="s">
        <v>313</v>
      </c>
      <c r="J299" s="77" t="s">
        <v>313</v>
      </c>
      <c r="K299" s="77"/>
      <c r="L299" s="94"/>
      <c r="M299" s="77"/>
      <c r="N299" s="43"/>
    </row>
    <row r="300" spans="1:14" ht="14.25" customHeight="1">
      <c r="A300" s="29">
        <f t="shared" si="15"/>
        <v>1.31</v>
      </c>
      <c r="B300" s="201">
        <v>1.31</v>
      </c>
      <c r="C300" s="202" t="s">
        <v>511</v>
      </c>
      <c r="D300" s="201" t="s">
        <v>217</v>
      </c>
      <c r="E300" s="201" t="s">
        <v>283</v>
      </c>
      <c r="F300" s="118" t="s">
        <v>220</v>
      </c>
      <c r="G300" s="77" t="s">
        <v>313</v>
      </c>
      <c r="H300" s="77"/>
      <c r="I300" s="77" t="s">
        <v>313</v>
      </c>
      <c r="J300" s="77" t="s">
        <v>313</v>
      </c>
      <c r="K300" s="77"/>
      <c r="L300" s="94"/>
      <c r="M300" s="77"/>
      <c r="N300" s="43"/>
    </row>
    <row r="301" spans="1:14" ht="14.25" customHeight="1">
      <c r="A301" s="29">
        <f t="shared" si="15"/>
        <v>1.31</v>
      </c>
      <c r="B301" s="201">
        <v>1.31</v>
      </c>
      <c r="C301" s="202" t="s">
        <v>522</v>
      </c>
      <c r="D301" s="201" t="s">
        <v>217</v>
      </c>
      <c r="E301" s="201" t="s">
        <v>283</v>
      </c>
      <c r="F301" s="118" t="s">
        <v>523</v>
      </c>
      <c r="G301" s="77" t="s">
        <v>313</v>
      </c>
      <c r="H301" s="77"/>
      <c r="I301" s="77" t="s">
        <v>313</v>
      </c>
      <c r="J301" s="77" t="s">
        <v>313</v>
      </c>
      <c r="K301" s="77" t="s">
        <v>313</v>
      </c>
      <c r="L301" s="94"/>
      <c r="M301" s="77"/>
      <c r="N301" s="43"/>
    </row>
    <row r="302" spans="1:14" ht="26.25" customHeight="1">
      <c r="A302" s="29">
        <f t="shared" si="15"/>
        <v>1.31</v>
      </c>
      <c r="B302" s="201">
        <v>1.31</v>
      </c>
      <c r="C302" s="202" t="s">
        <v>512</v>
      </c>
      <c r="D302" s="201" t="s">
        <v>217</v>
      </c>
      <c r="E302" s="201" t="s">
        <v>283</v>
      </c>
      <c r="F302" s="118" t="s">
        <v>513</v>
      </c>
      <c r="G302" s="77" t="s">
        <v>313</v>
      </c>
      <c r="H302" s="77"/>
      <c r="I302" s="77" t="s">
        <v>313</v>
      </c>
      <c r="J302" s="77" t="s">
        <v>313</v>
      </c>
      <c r="K302" s="77"/>
      <c r="L302" s="94"/>
      <c r="M302" s="77"/>
      <c r="N302" s="43"/>
    </row>
    <row r="303" spans="1:14" ht="25.5" customHeight="1">
      <c r="A303" s="29">
        <f t="shared" si="15"/>
        <v>1.31</v>
      </c>
      <c r="B303" s="213">
        <v>1.31</v>
      </c>
      <c r="C303" s="214" t="s">
        <v>515</v>
      </c>
      <c r="D303" s="213" t="s">
        <v>217</v>
      </c>
      <c r="E303" s="213" t="s">
        <v>283</v>
      </c>
      <c r="F303" s="164" t="s">
        <v>514</v>
      </c>
      <c r="G303" s="77" t="s">
        <v>313</v>
      </c>
      <c r="H303" s="77"/>
      <c r="I303" s="77" t="s">
        <v>313</v>
      </c>
      <c r="J303" s="77" t="s">
        <v>313</v>
      </c>
      <c r="K303" s="77"/>
      <c r="L303" s="94"/>
      <c r="M303" s="77"/>
      <c r="N303" s="43"/>
    </row>
    <row r="304" spans="1:14" ht="25.5" customHeight="1">
      <c r="A304" s="29">
        <f t="shared" si="15"/>
        <v>1.31</v>
      </c>
      <c r="B304" s="201">
        <v>1.31</v>
      </c>
      <c r="C304" s="202" t="s">
        <v>518</v>
      </c>
      <c r="D304" s="201" t="s">
        <v>217</v>
      </c>
      <c r="E304" s="201" t="s">
        <v>283</v>
      </c>
      <c r="F304" s="118" t="s">
        <v>519</v>
      </c>
      <c r="G304" s="77" t="s">
        <v>313</v>
      </c>
      <c r="H304" s="77"/>
      <c r="I304" s="77" t="s">
        <v>313</v>
      </c>
      <c r="J304" s="77" t="s">
        <v>313</v>
      </c>
      <c r="K304" s="77"/>
      <c r="L304" s="94"/>
      <c r="M304" s="77"/>
      <c r="N304" s="43"/>
    </row>
    <row r="305" spans="2:14" ht="25.5" customHeight="1">
      <c r="B305" s="201">
        <v>1.31</v>
      </c>
      <c r="C305" s="202" t="s">
        <v>521</v>
      </c>
      <c r="D305" s="201" t="s">
        <v>217</v>
      </c>
      <c r="E305" s="201" t="s">
        <v>283</v>
      </c>
      <c r="F305" s="118" t="s">
        <v>520</v>
      </c>
      <c r="G305" s="77" t="s">
        <v>313</v>
      </c>
      <c r="H305" s="77"/>
      <c r="I305" s="77" t="s">
        <v>313</v>
      </c>
      <c r="J305" s="77" t="s">
        <v>313</v>
      </c>
      <c r="K305" s="77"/>
      <c r="L305" s="94"/>
      <c r="M305" s="77"/>
      <c r="N305" s="43"/>
    </row>
    <row r="306" spans="1:17" s="14" customFormat="1" ht="0" customHeight="1" hidden="1">
      <c r="A306" s="32"/>
      <c r="B306" s="204"/>
      <c r="C306" s="206" t="s">
        <v>321</v>
      </c>
      <c r="D306" s="206"/>
      <c r="E306" s="205"/>
      <c r="F306" s="124"/>
      <c r="G306" s="83"/>
      <c r="H306" s="83"/>
      <c r="I306" s="83"/>
      <c r="J306" s="84"/>
      <c r="K306" s="83"/>
      <c r="L306" s="94"/>
      <c r="M306" s="77"/>
      <c r="N306" s="43"/>
      <c r="O306" s="1"/>
      <c r="P306" s="1"/>
      <c r="Q306" s="2"/>
    </row>
    <row r="307" spans="2:14" ht="15" customHeight="1">
      <c r="B307" s="230"/>
      <c r="C307" s="239" t="s">
        <v>309</v>
      </c>
      <c r="D307" s="237">
        <f>1!E22</f>
        <v>12</v>
      </c>
      <c r="E307" s="231" t="s">
        <v>87</v>
      </c>
      <c r="F307" s="136" t="s">
        <v>88</v>
      </c>
      <c r="G307" s="95"/>
      <c r="H307" s="96"/>
      <c r="I307" s="97"/>
      <c r="J307" s="97"/>
      <c r="K307" s="97"/>
      <c r="L307" s="94"/>
      <c r="M307" s="77"/>
      <c r="N307" s="43"/>
    </row>
    <row r="308" spans="1:14" ht="25.5" customHeight="1">
      <c r="A308" s="29">
        <f aca="true" t="shared" si="16" ref="A308:A319">B308</f>
        <v>1.31</v>
      </c>
      <c r="B308" s="201">
        <v>1.31</v>
      </c>
      <c r="C308" s="238" t="s">
        <v>659</v>
      </c>
      <c r="D308" s="162" t="s">
        <v>217</v>
      </c>
      <c r="E308" s="201" t="s">
        <v>87</v>
      </c>
      <c r="F308" s="145" t="s">
        <v>660</v>
      </c>
      <c r="G308" s="77"/>
      <c r="H308" s="77"/>
      <c r="I308" s="77"/>
      <c r="J308" s="77"/>
      <c r="K308" s="77"/>
      <c r="L308" s="94"/>
      <c r="M308" s="77"/>
      <c r="N308" s="43"/>
    </row>
    <row r="309" spans="1:14" ht="14.25" customHeight="1">
      <c r="A309" s="29">
        <f t="shared" si="16"/>
        <v>1.7</v>
      </c>
      <c r="B309" s="201">
        <v>1.7</v>
      </c>
      <c r="C309" s="202">
        <v>224</v>
      </c>
      <c r="D309" s="201" t="s">
        <v>365</v>
      </c>
      <c r="E309" s="201" t="s">
        <v>87</v>
      </c>
      <c r="F309" s="118" t="s">
        <v>440</v>
      </c>
      <c r="G309" s="77"/>
      <c r="H309" s="77"/>
      <c r="I309" s="77" t="s">
        <v>313</v>
      </c>
      <c r="J309" s="77" t="s">
        <v>313</v>
      </c>
      <c r="K309" s="77"/>
      <c r="L309" s="94"/>
      <c r="M309" s="77"/>
      <c r="N309" s="43"/>
    </row>
    <row r="310" spans="2:14" ht="14.25" customHeight="1">
      <c r="B310" s="211">
        <v>1.7</v>
      </c>
      <c r="C310" s="212">
        <v>179</v>
      </c>
      <c r="D310" s="211" t="s">
        <v>365</v>
      </c>
      <c r="E310" s="211" t="s">
        <v>87</v>
      </c>
      <c r="F310" s="169" t="s">
        <v>457</v>
      </c>
      <c r="G310" s="77" t="s">
        <v>313</v>
      </c>
      <c r="H310" s="77"/>
      <c r="I310" s="77" t="s">
        <v>313</v>
      </c>
      <c r="J310" s="77" t="s">
        <v>313</v>
      </c>
      <c r="K310" s="77"/>
      <c r="L310" s="94"/>
      <c r="M310" s="77"/>
      <c r="N310" s="43"/>
    </row>
    <row r="311" spans="2:14" ht="14.25" customHeight="1">
      <c r="B311" s="201">
        <v>1.7</v>
      </c>
      <c r="C311" s="202">
        <v>90</v>
      </c>
      <c r="D311" s="201" t="s">
        <v>365</v>
      </c>
      <c r="E311" s="201" t="s">
        <v>87</v>
      </c>
      <c r="F311" s="118" t="s">
        <v>437</v>
      </c>
      <c r="G311" s="77" t="s">
        <v>313</v>
      </c>
      <c r="H311" s="77"/>
      <c r="I311" s="77" t="s">
        <v>313</v>
      </c>
      <c r="J311" s="77" t="s">
        <v>313</v>
      </c>
      <c r="K311" s="77" t="s">
        <v>313</v>
      </c>
      <c r="L311" s="94"/>
      <c r="M311" s="77"/>
      <c r="N311" s="43"/>
    </row>
    <row r="312" spans="2:14" ht="14.25" customHeight="1">
      <c r="B312" s="211">
        <v>1.7</v>
      </c>
      <c r="C312" s="212">
        <v>183</v>
      </c>
      <c r="D312" s="211" t="s">
        <v>365</v>
      </c>
      <c r="E312" s="211" t="s">
        <v>87</v>
      </c>
      <c r="F312" s="169" t="s">
        <v>438</v>
      </c>
      <c r="G312" s="77" t="s">
        <v>313</v>
      </c>
      <c r="H312" s="77"/>
      <c r="I312" s="77" t="s">
        <v>313</v>
      </c>
      <c r="J312" s="77" t="s">
        <v>313</v>
      </c>
      <c r="K312" s="77"/>
      <c r="L312" s="94"/>
      <c r="M312" s="77"/>
      <c r="N312" s="43"/>
    </row>
    <row r="313" spans="2:14" ht="14.25" customHeight="1">
      <c r="B313" s="201">
        <v>1.7</v>
      </c>
      <c r="C313" s="202">
        <v>215</v>
      </c>
      <c r="D313" s="201" t="s">
        <v>365</v>
      </c>
      <c r="E313" s="201" t="s">
        <v>87</v>
      </c>
      <c r="F313" s="118" t="s">
        <v>439</v>
      </c>
      <c r="G313" s="77" t="s">
        <v>313</v>
      </c>
      <c r="H313" s="77"/>
      <c r="I313" s="77" t="s">
        <v>313</v>
      </c>
      <c r="J313" s="77" t="s">
        <v>313</v>
      </c>
      <c r="K313" s="77"/>
      <c r="L313" s="94"/>
      <c r="M313" s="77"/>
      <c r="N313" s="43"/>
    </row>
    <row r="314" spans="2:14" ht="14.25" customHeight="1">
      <c r="B314" s="213">
        <v>1.7</v>
      </c>
      <c r="C314" s="214">
        <v>223</v>
      </c>
      <c r="D314" s="213" t="s">
        <v>365</v>
      </c>
      <c r="E314" s="213" t="s">
        <v>87</v>
      </c>
      <c r="F314" s="164" t="s">
        <v>448</v>
      </c>
      <c r="G314" s="77"/>
      <c r="H314" s="77"/>
      <c r="I314" s="77" t="s">
        <v>313</v>
      </c>
      <c r="J314" s="77" t="s">
        <v>313</v>
      </c>
      <c r="K314" s="77"/>
      <c r="L314" s="94"/>
      <c r="M314" s="77"/>
      <c r="N314" s="43"/>
    </row>
    <row r="315" spans="1:14" ht="26.25" customHeight="1">
      <c r="A315" s="29">
        <f t="shared" si="16"/>
        <v>1.31</v>
      </c>
      <c r="B315" s="201">
        <v>1.31</v>
      </c>
      <c r="C315" s="202" t="s">
        <v>657</v>
      </c>
      <c r="D315" s="201" t="s">
        <v>217</v>
      </c>
      <c r="E315" s="201" t="s">
        <v>87</v>
      </c>
      <c r="F315" s="118" t="s">
        <v>658</v>
      </c>
      <c r="G315" s="77" t="s">
        <v>313</v>
      </c>
      <c r="H315" s="77"/>
      <c r="I315" s="77" t="s">
        <v>313</v>
      </c>
      <c r="J315" s="77" t="s">
        <v>313</v>
      </c>
      <c r="K315" s="77"/>
      <c r="L315" s="94"/>
      <c r="M315" s="77"/>
      <c r="N315" s="43"/>
    </row>
    <row r="316" spans="1:14" ht="23.25" customHeight="1">
      <c r="A316" s="29">
        <f t="shared" si="16"/>
        <v>1.31</v>
      </c>
      <c r="B316" s="201">
        <v>1.31</v>
      </c>
      <c r="C316" s="202" t="s">
        <v>535</v>
      </c>
      <c r="D316" s="201" t="s">
        <v>217</v>
      </c>
      <c r="E316" s="201" t="s">
        <v>87</v>
      </c>
      <c r="F316" s="118" t="s">
        <v>536</v>
      </c>
      <c r="G316" s="77" t="s">
        <v>313</v>
      </c>
      <c r="H316" s="77"/>
      <c r="I316" s="77" t="s">
        <v>313</v>
      </c>
      <c r="J316" s="77" t="s">
        <v>313</v>
      </c>
      <c r="K316" s="77"/>
      <c r="L316" s="94"/>
      <c r="M316" s="77"/>
      <c r="N316" s="43"/>
    </row>
    <row r="317" spans="1:14" ht="24" customHeight="1">
      <c r="A317" s="29">
        <f t="shared" si="16"/>
        <v>1.31</v>
      </c>
      <c r="B317" s="201">
        <v>1.31</v>
      </c>
      <c r="C317" s="202" t="s">
        <v>530</v>
      </c>
      <c r="D317" s="201" t="s">
        <v>217</v>
      </c>
      <c r="E317" s="201" t="s">
        <v>87</v>
      </c>
      <c r="F317" s="118" t="s">
        <v>531</v>
      </c>
      <c r="G317" s="77" t="s">
        <v>313</v>
      </c>
      <c r="H317" s="77"/>
      <c r="I317" s="77" t="s">
        <v>313</v>
      </c>
      <c r="J317" s="77" t="s">
        <v>313</v>
      </c>
      <c r="K317" s="77"/>
      <c r="L317" s="94"/>
      <c r="M317" s="77"/>
      <c r="N317" s="43"/>
    </row>
    <row r="318" spans="1:14" ht="25.5" customHeight="1">
      <c r="A318" s="29">
        <f t="shared" si="16"/>
        <v>1.31</v>
      </c>
      <c r="B318" s="201">
        <v>1.31</v>
      </c>
      <c r="C318" s="202" t="s">
        <v>532</v>
      </c>
      <c r="D318" s="201" t="s">
        <v>217</v>
      </c>
      <c r="E318" s="201" t="s">
        <v>87</v>
      </c>
      <c r="F318" s="118" t="s">
        <v>533</v>
      </c>
      <c r="G318" s="77" t="s">
        <v>313</v>
      </c>
      <c r="H318" s="77"/>
      <c r="I318" s="77" t="s">
        <v>313</v>
      </c>
      <c r="J318" s="77" t="s">
        <v>313</v>
      </c>
      <c r="K318" s="77" t="s">
        <v>313</v>
      </c>
      <c r="L318" s="94"/>
      <c r="M318" s="77"/>
      <c r="N318" s="43"/>
    </row>
    <row r="319" spans="1:14" ht="25.5" customHeight="1">
      <c r="A319" s="29">
        <f t="shared" si="16"/>
        <v>1.31</v>
      </c>
      <c r="B319" s="201">
        <v>1.31</v>
      </c>
      <c r="C319" s="202" t="s">
        <v>534</v>
      </c>
      <c r="D319" s="201" t="s">
        <v>217</v>
      </c>
      <c r="E319" s="201" t="s">
        <v>87</v>
      </c>
      <c r="F319" s="118" t="s">
        <v>537</v>
      </c>
      <c r="G319" s="77" t="s">
        <v>313</v>
      </c>
      <c r="H319" s="77"/>
      <c r="I319" s="77" t="s">
        <v>313</v>
      </c>
      <c r="J319" s="77" t="s">
        <v>313</v>
      </c>
      <c r="K319" s="77"/>
      <c r="L319" s="94"/>
      <c r="M319" s="77"/>
      <c r="N319" s="43"/>
    </row>
    <row r="320" spans="1:17" s="64" customFormat="1" ht="0.75" customHeight="1">
      <c r="A320" s="61"/>
      <c r="B320" s="204"/>
      <c r="C320" s="205" t="s">
        <v>321</v>
      </c>
      <c r="D320" s="205"/>
      <c r="E320" s="205"/>
      <c r="F320" s="126"/>
      <c r="G320" s="88"/>
      <c r="H320" s="88"/>
      <c r="I320" s="88"/>
      <c r="J320" s="89"/>
      <c r="K320" s="88"/>
      <c r="L320" s="99"/>
      <c r="M320" s="115"/>
      <c r="N320" s="43"/>
      <c r="O320" s="62"/>
      <c r="P320" s="62"/>
      <c r="Q320" s="63"/>
    </row>
    <row r="321" spans="2:14" ht="15" customHeight="1">
      <c r="B321" s="230"/>
      <c r="C321" s="239" t="s">
        <v>309</v>
      </c>
      <c r="D321" s="237">
        <f>1!E23</f>
        <v>20</v>
      </c>
      <c r="E321" s="231" t="s">
        <v>320</v>
      </c>
      <c r="F321" s="136" t="s">
        <v>229</v>
      </c>
      <c r="G321" s="95"/>
      <c r="H321" s="96"/>
      <c r="I321" s="97"/>
      <c r="J321" s="97"/>
      <c r="K321" s="97"/>
      <c r="L321" s="94"/>
      <c r="M321" s="77"/>
      <c r="N321" s="43"/>
    </row>
    <row r="322" spans="1:14" ht="14.25" customHeight="1">
      <c r="A322" s="29">
        <f>B322</f>
        <v>1.15</v>
      </c>
      <c r="B322" s="201">
        <v>1.15</v>
      </c>
      <c r="C322" s="202">
        <v>13</v>
      </c>
      <c r="D322" s="201" t="s">
        <v>277</v>
      </c>
      <c r="E322" s="201" t="s">
        <v>320</v>
      </c>
      <c r="F322" s="118" t="s">
        <v>271</v>
      </c>
      <c r="G322" s="77" t="s">
        <v>313</v>
      </c>
      <c r="H322" s="77"/>
      <c r="I322" s="77" t="s">
        <v>313</v>
      </c>
      <c r="J322" s="77" t="s">
        <v>313</v>
      </c>
      <c r="K322" s="77"/>
      <c r="L322" s="94"/>
      <c r="M322" s="77"/>
      <c r="N322" s="43"/>
    </row>
    <row r="323" spans="2:14" ht="14.25" customHeight="1">
      <c r="B323" s="201">
        <v>1.15</v>
      </c>
      <c r="C323" s="202">
        <v>305</v>
      </c>
      <c r="D323" s="201" t="s">
        <v>397</v>
      </c>
      <c r="E323" s="201" t="s">
        <v>320</v>
      </c>
      <c r="F323" s="118" t="s">
        <v>703</v>
      </c>
      <c r="G323" s="77" t="s">
        <v>313</v>
      </c>
      <c r="H323" s="77"/>
      <c r="I323" s="77" t="s">
        <v>313</v>
      </c>
      <c r="J323" s="77" t="s">
        <v>313</v>
      </c>
      <c r="K323" s="77"/>
      <c r="L323" s="94"/>
      <c r="M323" s="77"/>
      <c r="N323" s="43"/>
    </row>
    <row r="324" spans="2:14" ht="14.25" customHeight="1">
      <c r="B324" s="211">
        <v>1.7</v>
      </c>
      <c r="C324" s="212">
        <v>181</v>
      </c>
      <c r="D324" s="211" t="s">
        <v>365</v>
      </c>
      <c r="E324" s="211" t="s">
        <v>320</v>
      </c>
      <c r="F324" s="169" t="s">
        <v>666</v>
      </c>
      <c r="G324" s="77" t="s">
        <v>313</v>
      </c>
      <c r="H324" s="77"/>
      <c r="I324" s="77" t="s">
        <v>313</v>
      </c>
      <c r="J324" s="77" t="s">
        <v>313</v>
      </c>
      <c r="K324" s="77"/>
      <c r="L324" s="94"/>
      <c r="M324" s="77"/>
      <c r="N324" s="43"/>
    </row>
    <row r="325" spans="1:14" ht="25.5" customHeight="1">
      <c r="A325" s="29">
        <f aca="true" t="shared" si="17" ref="A325:A341">B325</f>
        <v>1.7</v>
      </c>
      <c r="B325" s="201">
        <v>1.7</v>
      </c>
      <c r="C325" s="202">
        <v>51</v>
      </c>
      <c r="D325" s="201" t="s">
        <v>365</v>
      </c>
      <c r="E325" s="201" t="s">
        <v>320</v>
      </c>
      <c r="F325" s="118" t="s">
        <v>20</v>
      </c>
      <c r="G325" s="77" t="s">
        <v>313</v>
      </c>
      <c r="H325" s="77"/>
      <c r="I325" s="77" t="s">
        <v>313</v>
      </c>
      <c r="J325" s="77" t="s">
        <v>313</v>
      </c>
      <c r="K325" s="77"/>
      <c r="L325" s="94"/>
      <c r="M325" s="77"/>
      <c r="N325" s="43"/>
    </row>
    <row r="326" spans="1:14" ht="25.5" customHeight="1">
      <c r="A326" s="29">
        <f t="shared" si="17"/>
        <v>1.7</v>
      </c>
      <c r="B326" s="201">
        <v>1.7</v>
      </c>
      <c r="C326" s="202">
        <v>52</v>
      </c>
      <c r="D326" s="201" t="s">
        <v>365</v>
      </c>
      <c r="E326" s="201" t="s">
        <v>320</v>
      </c>
      <c r="F326" s="118" t="s">
        <v>21</v>
      </c>
      <c r="G326" s="77" t="s">
        <v>313</v>
      </c>
      <c r="H326" s="77"/>
      <c r="I326" s="77" t="s">
        <v>313</v>
      </c>
      <c r="J326" s="77" t="s">
        <v>313</v>
      </c>
      <c r="K326" s="77"/>
      <c r="L326" s="94"/>
      <c r="M326" s="77"/>
      <c r="N326" s="43"/>
    </row>
    <row r="327" spans="1:14" ht="14.25" customHeight="1">
      <c r="A327" s="29">
        <f t="shared" si="17"/>
        <v>1.7</v>
      </c>
      <c r="B327" s="211">
        <v>1.7</v>
      </c>
      <c r="C327" s="212">
        <v>50</v>
      </c>
      <c r="D327" s="211" t="s">
        <v>365</v>
      </c>
      <c r="E327" s="211" t="s">
        <v>320</v>
      </c>
      <c r="F327" s="169" t="s">
        <v>230</v>
      </c>
      <c r="G327" s="77" t="s">
        <v>313</v>
      </c>
      <c r="H327" s="77"/>
      <c r="I327" s="77" t="s">
        <v>313</v>
      </c>
      <c r="J327" s="77" t="s">
        <v>313</v>
      </c>
      <c r="K327" s="77"/>
      <c r="L327" s="94"/>
      <c r="M327" s="77"/>
      <c r="N327" s="43"/>
    </row>
    <row r="328" spans="1:14" ht="25.5" customHeight="1">
      <c r="A328" s="29">
        <f t="shared" si="17"/>
        <v>1.7</v>
      </c>
      <c r="B328" s="201">
        <v>1.7</v>
      </c>
      <c r="C328" s="202">
        <v>62</v>
      </c>
      <c r="D328" s="201" t="s">
        <v>365</v>
      </c>
      <c r="E328" s="201" t="s">
        <v>320</v>
      </c>
      <c r="F328" s="118" t="s">
        <v>22</v>
      </c>
      <c r="G328" s="77" t="s">
        <v>313</v>
      </c>
      <c r="H328" s="77"/>
      <c r="I328" s="77" t="s">
        <v>313</v>
      </c>
      <c r="J328" s="77" t="s">
        <v>313</v>
      </c>
      <c r="K328" s="77"/>
      <c r="L328" s="94"/>
      <c r="M328" s="77" t="s">
        <v>313</v>
      </c>
      <c r="N328" s="43"/>
    </row>
    <row r="329" spans="1:14" ht="25.5" customHeight="1">
      <c r="A329" s="29">
        <f t="shared" si="17"/>
        <v>1.7</v>
      </c>
      <c r="B329" s="201">
        <v>1.7</v>
      </c>
      <c r="C329" s="202">
        <v>63</v>
      </c>
      <c r="D329" s="201" t="s">
        <v>365</v>
      </c>
      <c r="E329" s="201" t="s">
        <v>320</v>
      </c>
      <c r="F329" s="118" t="s">
        <v>23</v>
      </c>
      <c r="G329" s="77" t="s">
        <v>313</v>
      </c>
      <c r="H329" s="77"/>
      <c r="I329" s="77" t="s">
        <v>313</v>
      </c>
      <c r="J329" s="77" t="s">
        <v>313</v>
      </c>
      <c r="K329" s="77"/>
      <c r="L329" s="94"/>
      <c r="M329" s="77" t="s">
        <v>313</v>
      </c>
      <c r="N329" s="43"/>
    </row>
    <row r="330" spans="2:14" ht="25.5" customHeight="1">
      <c r="B330" s="201">
        <v>1.7</v>
      </c>
      <c r="C330" s="202">
        <v>251</v>
      </c>
      <c r="D330" s="201" t="s">
        <v>365</v>
      </c>
      <c r="E330" s="201" t="s">
        <v>320</v>
      </c>
      <c r="F330" s="118" t="s">
        <v>698</v>
      </c>
      <c r="G330" s="77" t="s">
        <v>313</v>
      </c>
      <c r="H330" s="77"/>
      <c r="I330" s="77" t="s">
        <v>313</v>
      </c>
      <c r="J330" s="77" t="s">
        <v>313</v>
      </c>
      <c r="K330" s="77" t="s">
        <v>313</v>
      </c>
      <c r="L330" s="94"/>
      <c r="M330" s="77"/>
      <c r="N330" s="43"/>
    </row>
    <row r="331" spans="1:14" ht="14.25" customHeight="1">
      <c r="A331" s="29">
        <f t="shared" si="17"/>
        <v>1.7</v>
      </c>
      <c r="B331" s="201">
        <v>1.7</v>
      </c>
      <c r="C331" s="202">
        <v>36</v>
      </c>
      <c r="D331" s="201" t="s">
        <v>365</v>
      </c>
      <c r="E331" s="201" t="s">
        <v>320</v>
      </c>
      <c r="F331" s="118" t="s">
        <v>427</v>
      </c>
      <c r="G331" s="77" t="s">
        <v>313</v>
      </c>
      <c r="H331" s="77"/>
      <c r="I331" s="77" t="s">
        <v>313</v>
      </c>
      <c r="J331" s="77" t="s">
        <v>313</v>
      </c>
      <c r="K331" s="77"/>
      <c r="L331" s="94"/>
      <c r="M331" s="77"/>
      <c r="N331" s="43"/>
    </row>
    <row r="332" spans="1:14" ht="25.5" customHeight="1">
      <c r="A332" s="29">
        <f t="shared" si="17"/>
        <v>1.7</v>
      </c>
      <c r="B332" s="201">
        <v>1.7</v>
      </c>
      <c r="C332" s="202">
        <v>28</v>
      </c>
      <c r="D332" s="201" t="s">
        <v>365</v>
      </c>
      <c r="E332" s="201" t="s">
        <v>320</v>
      </c>
      <c r="F332" s="118" t="s">
        <v>429</v>
      </c>
      <c r="G332" s="77" t="s">
        <v>313</v>
      </c>
      <c r="H332" s="77"/>
      <c r="I332" s="77" t="s">
        <v>313</v>
      </c>
      <c r="J332" s="77" t="s">
        <v>313</v>
      </c>
      <c r="K332" s="77" t="s">
        <v>313</v>
      </c>
      <c r="L332" s="94"/>
      <c r="M332" s="77"/>
      <c r="N332" s="43"/>
    </row>
    <row r="333" spans="1:14" ht="25.5" customHeight="1">
      <c r="A333" s="29">
        <f t="shared" si="17"/>
        <v>1.7</v>
      </c>
      <c r="B333" s="201">
        <v>1.7</v>
      </c>
      <c r="C333" s="202">
        <v>61</v>
      </c>
      <c r="D333" s="201" t="s">
        <v>365</v>
      </c>
      <c r="E333" s="201" t="s">
        <v>320</v>
      </c>
      <c r="F333" s="118" t="s">
        <v>24</v>
      </c>
      <c r="G333" s="77" t="s">
        <v>313</v>
      </c>
      <c r="H333" s="77"/>
      <c r="I333" s="77" t="s">
        <v>313</v>
      </c>
      <c r="J333" s="77" t="s">
        <v>313</v>
      </c>
      <c r="K333" s="77"/>
      <c r="L333" s="94"/>
      <c r="M333" s="77" t="s">
        <v>313</v>
      </c>
      <c r="N333" s="43"/>
    </row>
    <row r="334" spans="1:14" ht="14.25" customHeight="1">
      <c r="A334" s="29">
        <f t="shared" si="17"/>
        <v>1.7</v>
      </c>
      <c r="B334" s="201">
        <v>1.7</v>
      </c>
      <c r="C334" s="202">
        <v>59</v>
      </c>
      <c r="D334" s="201" t="s">
        <v>365</v>
      </c>
      <c r="E334" s="201" t="s">
        <v>320</v>
      </c>
      <c r="F334" s="118" t="s">
        <v>158</v>
      </c>
      <c r="G334" s="77" t="s">
        <v>313</v>
      </c>
      <c r="H334" s="77"/>
      <c r="I334" s="77" t="s">
        <v>313</v>
      </c>
      <c r="J334" s="77" t="s">
        <v>313</v>
      </c>
      <c r="K334" s="77"/>
      <c r="L334" s="94"/>
      <c r="M334" s="77" t="s">
        <v>313</v>
      </c>
      <c r="N334" s="43"/>
    </row>
    <row r="335" spans="1:17" s="21" customFormat="1" ht="25.5" customHeight="1">
      <c r="A335" s="29">
        <f t="shared" si="17"/>
        <v>1.7</v>
      </c>
      <c r="B335" s="201">
        <v>1.7</v>
      </c>
      <c r="C335" s="202">
        <v>41</v>
      </c>
      <c r="D335" s="201" t="s">
        <v>365</v>
      </c>
      <c r="E335" s="201" t="s">
        <v>320</v>
      </c>
      <c r="F335" s="118" t="s">
        <v>159</v>
      </c>
      <c r="G335" s="77" t="s">
        <v>313</v>
      </c>
      <c r="H335" s="77"/>
      <c r="I335" s="77" t="s">
        <v>313</v>
      </c>
      <c r="J335" s="77" t="s">
        <v>313</v>
      </c>
      <c r="K335" s="77"/>
      <c r="L335" s="94"/>
      <c r="M335" s="77"/>
      <c r="N335" s="43"/>
      <c r="O335" s="25"/>
      <c r="P335" s="1"/>
      <c r="Q335" s="2"/>
    </row>
    <row r="336" spans="1:14" ht="25.5" customHeight="1">
      <c r="A336" s="29">
        <f t="shared" si="17"/>
        <v>1.7</v>
      </c>
      <c r="B336" s="201">
        <v>1.7</v>
      </c>
      <c r="C336" s="202">
        <v>60</v>
      </c>
      <c r="D336" s="201" t="s">
        <v>365</v>
      </c>
      <c r="E336" s="201" t="s">
        <v>320</v>
      </c>
      <c r="F336" s="118" t="s">
        <v>430</v>
      </c>
      <c r="G336" s="77" t="s">
        <v>313</v>
      </c>
      <c r="H336" s="77"/>
      <c r="I336" s="77" t="s">
        <v>313</v>
      </c>
      <c r="J336" s="77" t="s">
        <v>313</v>
      </c>
      <c r="K336" s="77"/>
      <c r="L336" s="94"/>
      <c r="M336" s="77" t="s">
        <v>313</v>
      </c>
      <c r="N336" s="43"/>
    </row>
    <row r="337" spans="1:14" ht="25.5" customHeight="1">
      <c r="A337" s="29">
        <f t="shared" si="17"/>
        <v>1.31</v>
      </c>
      <c r="B337" s="201">
        <v>1.31</v>
      </c>
      <c r="C337" s="202" t="s">
        <v>641</v>
      </c>
      <c r="D337" s="201" t="s">
        <v>217</v>
      </c>
      <c r="E337" s="201" t="s">
        <v>320</v>
      </c>
      <c r="F337" s="118" t="s">
        <v>642</v>
      </c>
      <c r="G337" s="77" t="s">
        <v>313</v>
      </c>
      <c r="H337" s="77"/>
      <c r="I337" s="77" t="s">
        <v>313</v>
      </c>
      <c r="J337" s="77" t="s">
        <v>313</v>
      </c>
      <c r="K337" s="77"/>
      <c r="L337" s="94"/>
      <c r="M337" s="77"/>
      <c r="N337" s="43"/>
    </row>
    <row r="338" spans="1:14" ht="25.5" customHeight="1">
      <c r="A338" s="29">
        <f t="shared" si="17"/>
        <v>1.31</v>
      </c>
      <c r="B338" s="201">
        <v>1.31</v>
      </c>
      <c r="C338" s="202" t="s">
        <v>649</v>
      </c>
      <c r="D338" s="201" t="s">
        <v>217</v>
      </c>
      <c r="E338" s="201" t="s">
        <v>320</v>
      </c>
      <c r="F338" s="118" t="s">
        <v>650</v>
      </c>
      <c r="G338" s="77" t="s">
        <v>313</v>
      </c>
      <c r="H338" s="77"/>
      <c r="I338" s="77" t="s">
        <v>313</v>
      </c>
      <c r="J338" s="77" t="s">
        <v>313</v>
      </c>
      <c r="K338" s="77"/>
      <c r="L338" s="94"/>
      <c r="M338" s="77"/>
      <c r="N338" s="43"/>
    </row>
    <row r="339" spans="1:14" ht="26.25" customHeight="1">
      <c r="A339" s="29">
        <f t="shared" si="17"/>
        <v>1.31</v>
      </c>
      <c r="B339" s="201">
        <v>1.31</v>
      </c>
      <c r="C339" s="202" t="s">
        <v>643</v>
      </c>
      <c r="D339" s="201" t="s">
        <v>217</v>
      </c>
      <c r="E339" s="201" t="s">
        <v>320</v>
      </c>
      <c r="F339" s="118" t="s">
        <v>644</v>
      </c>
      <c r="G339" s="77" t="s">
        <v>313</v>
      </c>
      <c r="H339" s="77"/>
      <c r="I339" s="77" t="s">
        <v>313</v>
      </c>
      <c r="J339" s="77" t="s">
        <v>313</v>
      </c>
      <c r="K339" s="77"/>
      <c r="L339" s="94"/>
      <c r="M339" s="77"/>
      <c r="N339" s="43"/>
    </row>
    <row r="340" spans="1:14" ht="25.5" customHeight="1">
      <c r="A340" s="29">
        <f t="shared" si="17"/>
        <v>1.31</v>
      </c>
      <c r="B340" s="201">
        <v>1.31</v>
      </c>
      <c r="C340" s="202" t="s">
        <v>645</v>
      </c>
      <c r="D340" s="201" t="s">
        <v>217</v>
      </c>
      <c r="E340" s="201" t="s">
        <v>320</v>
      </c>
      <c r="F340" s="118" t="s">
        <v>646</v>
      </c>
      <c r="G340" s="77" t="s">
        <v>313</v>
      </c>
      <c r="H340" s="77"/>
      <c r="I340" s="77" t="s">
        <v>313</v>
      </c>
      <c r="J340" s="77" t="s">
        <v>313</v>
      </c>
      <c r="K340" s="77"/>
      <c r="L340" s="94"/>
      <c r="M340" s="77"/>
      <c r="N340" s="43"/>
    </row>
    <row r="341" spans="1:14" ht="25.5" customHeight="1">
      <c r="A341" s="29">
        <f t="shared" si="17"/>
        <v>1.31</v>
      </c>
      <c r="B341" s="201">
        <v>1.31</v>
      </c>
      <c r="C341" s="202" t="s">
        <v>647</v>
      </c>
      <c r="D341" s="201" t="s">
        <v>217</v>
      </c>
      <c r="E341" s="201" t="s">
        <v>320</v>
      </c>
      <c r="F341" s="118" t="s">
        <v>648</v>
      </c>
      <c r="G341" s="77" t="s">
        <v>313</v>
      </c>
      <c r="H341" s="77"/>
      <c r="I341" s="77" t="s">
        <v>313</v>
      </c>
      <c r="J341" s="77" t="s">
        <v>313</v>
      </c>
      <c r="K341" s="77"/>
      <c r="L341" s="94"/>
      <c r="M341" s="77"/>
      <c r="N341" s="43"/>
    </row>
    <row r="342" spans="1:17" s="15" customFormat="1" ht="0" customHeight="1" hidden="1">
      <c r="A342" s="59"/>
      <c r="B342" s="204"/>
      <c r="C342" s="206" t="s">
        <v>321</v>
      </c>
      <c r="D342" s="206"/>
      <c r="E342" s="205"/>
      <c r="F342" s="123"/>
      <c r="G342" s="82"/>
      <c r="H342" s="82"/>
      <c r="I342" s="82"/>
      <c r="J342" s="82"/>
      <c r="K342" s="82"/>
      <c r="L342" s="98"/>
      <c r="M342" s="76"/>
      <c r="N342" s="43"/>
      <c r="O342" s="60"/>
      <c r="P342" s="60"/>
      <c r="Q342" s="60"/>
    </row>
    <row r="343" spans="2:14" ht="15" customHeight="1">
      <c r="B343" s="230"/>
      <c r="C343" s="239" t="s">
        <v>309</v>
      </c>
      <c r="D343" s="237">
        <f>1!E24</f>
        <v>12</v>
      </c>
      <c r="E343" s="231" t="s">
        <v>83</v>
      </c>
      <c r="F343" s="136" t="s">
        <v>179</v>
      </c>
      <c r="G343" s="95"/>
      <c r="H343" s="96"/>
      <c r="I343" s="97"/>
      <c r="J343" s="97"/>
      <c r="K343" s="97"/>
      <c r="L343" s="94"/>
      <c r="M343" s="77"/>
      <c r="N343" s="43"/>
    </row>
    <row r="344" spans="2:14" ht="14.25" customHeight="1">
      <c r="B344" s="201">
        <v>1.15</v>
      </c>
      <c r="C344" s="202">
        <v>302</v>
      </c>
      <c r="D344" s="201" t="s">
        <v>397</v>
      </c>
      <c r="E344" s="201" t="s">
        <v>83</v>
      </c>
      <c r="F344" s="118" t="s">
        <v>272</v>
      </c>
      <c r="G344" s="77" t="s">
        <v>313</v>
      </c>
      <c r="H344" s="77"/>
      <c r="I344" s="77" t="s">
        <v>313</v>
      </c>
      <c r="J344" s="77" t="s">
        <v>313</v>
      </c>
      <c r="K344" s="77"/>
      <c r="L344" s="94"/>
      <c r="M344" s="77"/>
      <c r="N344" s="43"/>
    </row>
    <row r="345" spans="2:14" ht="14.25" customHeight="1">
      <c r="B345" s="201">
        <v>1.15</v>
      </c>
      <c r="C345" s="202">
        <v>14</v>
      </c>
      <c r="D345" s="201" t="s">
        <v>277</v>
      </c>
      <c r="E345" s="201" t="s">
        <v>83</v>
      </c>
      <c r="F345" s="118" t="s">
        <v>270</v>
      </c>
      <c r="G345" s="77" t="s">
        <v>313</v>
      </c>
      <c r="H345" s="77"/>
      <c r="I345" s="77" t="s">
        <v>313</v>
      </c>
      <c r="J345" s="77" t="s">
        <v>313</v>
      </c>
      <c r="K345" s="77"/>
      <c r="L345" s="94"/>
      <c r="M345" s="77"/>
      <c r="N345" s="43"/>
    </row>
    <row r="346" spans="2:14" ht="28.5" customHeight="1">
      <c r="B346" s="232">
        <v>1.51</v>
      </c>
      <c r="C346" s="241" t="s">
        <v>467</v>
      </c>
      <c r="D346" s="242" t="s">
        <v>34</v>
      </c>
      <c r="E346" s="201" t="s">
        <v>83</v>
      </c>
      <c r="F346" s="149" t="s">
        <v>468</v>
      </c>
      <c r="G346" s="151" t="s">
        <v>313</v>
      </c>
      <c r="H346" s="151" t="s">
        <v>313</v>
      </c>
      <c r="I346" s="151" t="s">
        <v>313</v>
      </c>
      <c r="J346" s="151" t="s">
        <v>313</v>
      </c>
      <c r="K346" s="77"/>
      <c r="L346" s="77"/>
      <c r="M346" s="77"/>
      <c r="N346" s="43"/>
    </row>
    <row r="347" spans="1:14" ht="14.25" customHeight="1">
      <c r="A347" s="29">
        <f>B347</f>
        <v>1.7</v>
      </c>
      <c r="B347" s="201">
        <v>1.7</v>
      </c>
      <c r="C347" s="202">
        <v>84</v>
      </c>
      <c r="D347" s="201" t="s">
        <v>365</v>
      </c>
      <c r="E347" s="201" t="s">
        <v>83</v>
      </c>
      <c r="F347" s="128" t="s">
        <v>25</v>
      </c>
      <c r="G347" s="77"/>
      <c r="H347" s="77"/>
      <c r="I347" s="77"/>
      <c r="J347" s="77"/>
      <c r="K347" s="77"/>
      <c r="L347" s="94"/>
      <c r="M347" s="77"/>
      <c r="N347" s="43"/>
    </row>
    <row r="348" spans="1:14" ht="14.25" customHeight="1">
      <c r="A348" s="29">
        <f>B348</f>
        <v>1.7</v>
      </c>
      <c r="B348" s="201">
        <v>1.7</v>
      </c>
      <c r="C348" s="202">
        <v>69</v>
      </c>
      <c r="D348" s="201" t="s">
        <v>365</v>
      </c>
      <c r="E348" s="201" t="s">
        <v>83</v>
      </c>
      <c r="F348" s="128" t="s">
        <v>431</v>
      </c>
      <c r="G348" s="77" t="s">
        <v>313</v>
      </c>
      <c r="H348" s="77"/>
      <c r="I348" s="77" t="s">
        <v>313</v>
      </c>
      <c r="J348" s="77" t="s">
        <v>313</v>
      </c>
      <c r="K348" s="77"/>
      <c r="L348" s="94"/>
      <c r="M348" s="77" t="s">
        <v>313</v>
      </c>
      <c r="N348" s="43"/>
    </row>
    <row r="349" spans="2:14" ht="25.5" customHeight="1">
      <c r="B349" s="201">
        <v>1.7</v>
      </c>
      <c r="C349" s="202">
        <v>42</v>
      </c>
      <c r="D349" s="201" t="s">
        <v>365</v>
      </c>
      <c r="E349" s="201" t="s">
        <v>83</v>
      </c>
      <c r="F349" s="128" t="s">
        <v>274</v>
      </c>
      <c r="G349" s="77"/>
      <c r="H349" s="77"/>
      <c r="I349" s="77" t="s">
        <v>313</v>
      </c>
      <c r="J349" s="77" t="s">
        <v>313</v>
      </c>
      <c r="K349" s="77" t="s">
        <v>313</v>
      </c>
      <c r="L349" s="94"/>
      <c r="M349" s="77"/>
      <c r="N349" s="43"/>
    </row>
    <row r="350" spans="2:14" ht="14.25" customHeight="1">
      <c r="B350" s="213">
        <v>1.7</v>
      </c>
      <c r="C350" s="214">
        <v>226</v>
      </c>
      <c r="D350" s="213" t="s">
        <v>365</v>
      </c>
      <c r="E350" s="213" t="s">
        <v>83</v>
      </c>
      <c r="F350" s="164" t="s">
        <v>180</v>
      </c>
      <c r="G350" s="77" t="s">
        <v>313</v>
      </c>
      <c r="H350" s="77"/>
      <c r="I350" s="77" t="s">
        <v>313</v>
      </c>
      <c r="J350" s="77" t="s">
        <v>313</v>
      </c>
      <c r="K350" s="77"/>
      <c r="L350" s="94"/>
      <c r="M350" s="77"/>
      <c r="N350" s="43"/>
    </row>
    <row r="351" spans="2:14" ht="14.25" customHeight="1">
      <c r="B351" s="201">
        <v>1.7</v>
      </c>
      <c r="C351" s="202" t="s">
        <v>696</v>
      </c>
      <c r="D351" s="201" t="s">
        <v>365</v>
      </c>
      <c r="E351" s="201" t="s">
        <v>83</v>
      </c>
      <c r="F351" s="118" t="s">
        <v>697</v>
      </c>
      <c r="G351" s="77" t="s">
        <v>313</v>
      </c>
      <c r="H351" s="77"/>
      <c r="I351" s="77" t="s">
        <v>313</v>
      </c>
      <c r="J351" s="77" t="s">
        <v>313</v>
      </c>
      <c r="K351" s="77" t="s">
        <v>313</v>
      </c>
      <c r="L351" s="94"/>
      <c r="M351" s="77"/>
      <c r="N351" s="43"/>
    </row>
    <row r="352" spans="2:14" ht="14.25" customHeight="1">
      <c r="B352" s="201">
        <v>1.7</v>
      </c>
      <c r="C352" s="202">
        <v>185</v>
      </c>
      <c r="D352" s="201" t="s">
        <v>365</v>
      </c>
      <c r="E352" s="201" t="s">
        <v>83</v>
      </c>
      <c r="F352" s="118" t="s">
        <v>441</v>
      </c>
      <c r="G352" s="77" t="s">
        <v>313</v>
      </c>
      <c r="H352" s="77"/>
      <c r="I352" s="77" t="s">
        <v>313</v>
      </c>
      <c r="J352" s="77" t="s">
        <v>313</v>
      </c>
      <c r="K352" s="77" t="s">
        <v>313</v>
      </c>
      <c r="L352" s="94"/>
      <c r="M352" s="77"/>
      <c r="N352" s="43"/>
    </row>
    <row r="353" spans="1:14" ht="25.5" customHeight="1">
      <c r="A353" s="29">
        <f>B353</f>
        <v>1.31</v>
      </c>
      <c r="B353" s="201">
        <v>1.31</v>
      </c>
      <c r="C353" s="202" t="s">
        <v>655</v>
      </c>
      <c r="D353" s="201" t="s">
        <v>217</v>
      </c>
      <c r="E353" s="201" t="s">
        <v>83</v>
      </c>
      <c r="F353" s="128" t="s">
        <v>656</v>
      </c>
      <c r="G353" s="77" t="s">
        <v>313</v>
      </c>
      <c r="H353" s="77"/>
      <c r="I353" s="77" t="s">
        <v>313</v>
      </c>
      <c r="J353" s="77" t="s">
        <v>313</v>
      </c>
      <c r="K353" s="77"/>
      <c r="L353" s="94"/>
      <c r="M353" s="77"/>
      <c r="N353" s="43"/>
    </row>
    <row r="354" spans="2:14" ht="14.25" customHeight="1">
      <c r="B354" s="201">
        <v>1.31</v>
      </c>
      <c r="C354" s="202" t="s">
        <v>651</v>
      </c>
      <c r="D354" s="201" t="s">
        <v>217</v>
      </c>
      <c r="E354" s="201" t="s">
        <v>83</v>
      </c>
      <c r="F354" s="128" t="s">
        <v>652</v>
      </c>
      <c r="G354" s="77"/>
      <c r="H354" s="77"/>
      <c r="I354" s="77" t="s">
        <v>313</v>
      </c>
      <c r="J354" s="77" t="s">
        <v>313</v>
      </c>
      <c r="K354" s="77"/>
      <c r="L354" s="94"/>
      <c r="M354" s="77"/>
      <c r="N354" s="43"/>
    </row>
    <row r="355" spans="1:14" ht="25.5" customHeight="1">
      <c r="A355" s="29">
        <f>B355</f>
        <v>1.31</v>
      </c>
      <c r="B355" s="201">
        <v>1.31</v>
      </c>
      <c r="C355" s="202" t="s">
        <v>653</v>
      </c>
      <c r="D355" s="201" t="s">
        <v>217</v>
      </c>
      <c r="E355" s="201" t="s">
        <v>83</v>
      </c>
      <c r="F355" s="128" t="s">
        <v>654</v>
      </c>
      <c r="G355" s="77" t="s">
        <v>313</v>
      </c>
      <c r="H355" s="77"/>
      <c r="I355" s="77" t="s">
        <v>313</v>
      </c>
      <c r="J355" s="77" t="s">
        <v>313</v>
      </c>
      <c r="K355" s="77"/>
      <c r="L355" s="94"/>
      <c r="M355" s="77"/>
      <c r="N355" s="43"/>
    </row>
    <row r="356" spans="1:17" s="14" customFormat="1" ht="0" customHeight="1" hidden="1">
      <c r="A356" s="32"/>
      <c r="B356" s="240"/>
      <c r="C356" s="206" t="s">
        <v>321</v>
      </c>
      <c r="D356" s="206"/>
      <c r="E356" s="206"/>
      <c r="F356" s="127"/>
      <c r="G356" s="83"/>
      <c r="H356" s="83"/>
      <c r="I356" s="83"/>
      <c r="J356" s="83"/>
      <c r="K356" s="83"/>
      <c r="L356" s="100"/>
      <c r="M356" s="78"/>
      <c r="N356" s="43"/>
      <c r="O356" s="1"/>
      <c r="P356" s="1"/>
      <c r="Q356" s="2"/>
    </row>
    <row r="357" spans="2:14" ht="15" customHeight="1">
      <c r="B357" s="230"/>
      <c r="C357" s="239" t="s">
        <v>309</v>
      </c>
      <c r="D357" s="237">
        <f>1!E25</f>
        <v>14</v>
      </c>
      <c r="E357" s="231" t="s">
        <v>367</v>
      </c>
      <c r="F357" s="136" t="s">
        <v>368</v>
      </c>
      <c r="G357" s="95"/>
      <c r="H357" s="96"/>
      <c r="I357" s="97"/>
      <c r="J357" s="97"/>
      <c r="K357" s="97"/>
      <c r="L357" s="94"/>
      <c r="M357" s="77"/>
      <c r="N357" s="43"/>
    </row>
    <row r="358" spans="1:14" ht="14.25" customHeight="1">
      <c r="A358" s="29">
        <f aca="true" t="shared" si="18" ref="A358:A370">B358</f>
        <v>1.7</v>
      </c>
      <c r="B358" s="201">
        <v>1.7</v>
      </c>
      <c r="C358" s="202">
        <v>55</v>
      </c>
      <c r="D358" s="201" t="s">
        <v>365</v>
      </c>
      <c r="E358" s="201" t="s">
        <v>367</v>
      </c>
      <c r="F358" s="128" t="s">
        <v>369</v>
      </c>
      <c r="G358" s="77" t="s">
        <v>313</v>
      </c>
      <c r="H358" s="77"/>
      <c r="I358" s="77" t="s">
        <v>313</v>
      </c>
      <c r="J358" s="77" t="s">
        <v>313</v>
      </c>
      <c r="K358" s="77"/>
      <c r="L358" s="94"/>
      <c r="M358" s="77"/>
      <c r="N358" s="43"/>
    </row>
    <row r="359" spans="2:14" ht="14.25" customHeight="1">
      <c r="B359" s="213">
        <v>1.7</v>
      </c>
      <c r="C359" s="214">
        <v>216</v>
      </c>
      <c r="D359" s="213" t="s">
        <v>365</v>
      </c>
      <c r="E359" s="213" t="s">
        <v>367</v>
      </c>
      <c r="F359" s="168" t="s">
        <v>463</v>
      </c>
      <c r="G359" s="77" t="s">
        <v>313</v>
      </c>
      <c r="H359" s="77"/>
      <c r="I359" s="77" t="s">
        <v>313</v>
      </c>
      <c r="J359" s="77" t="s">
        <v>313</v>
      </c>
      <c r="K359" s="77"/>
      <c r="L359" s="94"/>
      <c r="M359" s="77"/>
      <c r="N359" s="43"/>
    </row>
    <row r="360" spans="1:14" ht="25.5" customHeight="1">
      <c r="A360" s="29">
        <f t="shared" si="18"/>
        <v>1.7</v>
      </c>
      <c r="B360" s="201">
        <v>1.7</v>
      </c>
      <c r="C360" s="202">
        <v>86</v>
      </c>
      <c r="D360" s="201" t="s">
        <v>365</v>
      </c>
      <c r="E360" s="201" t="s">
        <v>367</v>
      </c>
      <c r="F360" s="118" t="s">
        <v>464</v>
      </c>
      <c r="G360" s="77" t="s">
        <v>313</v>
      </c>
      <c r="H360" s="77"/>
      <c r="I360" s="77" t="s">
        <v>313</v>
      </c>
      <c r="J360" s="77" t="s">
        <v>313</v>
      </c>
      <c r="K360" s="77"/>
      <c r="L360" s="94"/>
      <c r="M360" s="77"/>
      <c r="N360" s="43"/>
    </row>
    <row r="361" spans="1:14" ht="14.25" customHeight="1">
      <c r="A361" s="29">
        <f t="shared" si="18"/>
        <v>1.7</v>
      </c>
      <c r="B361" s="201">
        <v>1.7</v>
      </c>
      <c r="C361" s="202">
        <v>25</v>
      </c>
      <c r="D361" s="201" t="s">
        <v>365</v>
      </c>
      <c r="E361" s="201" t="s">
        <v>367</v>
      </c>
      <c r="F361" s="128" t="s">
        <v>73</v>
      </c>
      <c r="G361" s="77"/>
      <c r="H361" s="77"/>
      <c r="I361" s="77" t="s">
        <v>313</v>
      </c>
      <c r="J361" s="77" t="s">
        <v>313</v>
      </c>
      <c r="K361" s="77"/>
      <c r="L361" s="94"/>
      <c r="M361" s="77"/>
      <c r="N361" s="43"/>
    </row>
    <row r="362" spans="1:14" ht="14.25" customHeight="1">
      <c r="A362" s="29">
        <f t="shared" si="18"/>
        <v>1.7</v>
      </c>
      <c r="B362" s="201">
        <v>1.7</v>
      </c>
      <c r="C362" s="202">
        <v>33</v>
      </c>
      <c r="D362" s="201" t="s">
        <v>365</v>
      </c>
      <c r="E362" s="201" t="s">
        <v>367</v>
      </c>
      <c r="F362" s="128" t="s">
        <v>26</v>
      </c>
      <c r="G362" s="77" t="s">
        <v>313</v>
      </c>
      <c r="H362" s="77"/>
      <c r="I362" s="77" t="s">
        <v>313</v>
      </c>
      <c r="J362" s="77" t="s">
        <v>313</v>
      </c>
      <c r="K362" s="77"/>
      <c r="L362" s="94"/>
      <c r="M362" s="77"/>
      <c r="N362" s="43"/>
    </row>
    <row r="363" spans="1:14" ht="14.25" customHeight="1">
      <c r="A363" s="29">
        <f t="shared" si="18"/>
        <v>1.7</v>
      </c>
      <c r="B363" s="201">
        <v>1.7</v>
      </c>
      <c r="C363" s="202">
        <v>35</v>
      </c>
      <c r="D363" s="201" t="s">
        <v>365</v>
      </c>
      <c r="E363" s="201" t="s">
        <v>367</v>
      </c>
      <c r="F363" s="128" t="s">
        <v>405</v>
      </c>
      <c r="G363" s="77" t="s">
        <v>313</v>
      </c>
      <c r="H363" s="77"/>
      <c r="I363" s="77" t="s">
        <v>313</v>
      </c>
      <c r="J363" s="77" t="s">
        <v>313</v>
      </c>
      <c r="K363" s="77"/>
      <c r="L363" s="77"/>
      <c r="M363" s="77"/>
      <c r="N363" s="40"/>
    </row>
    <row r="364" spans="1:14" ht="14.25" customHeight="1">
      <c r="A364" s="29">
        <f t="shared" si="18"/>
        <v>1.7</v>
      </c>
      <c r="B364" s="201">
        <v>1.7</v>
      </c>
      <c r="C364" s="202">
        <v>24</v>
      </c>
      <c r="D364" s="201" t="s">
        <v>365</v>
      </c>
      <c r="E364" s="201" t="s">
        <v>367</v>
      </c>
      <c r="F364" s="118" t="s">
        <v>432</v>
      </c>
      <c r="G364" s="77"/>
      <c r="H364" s="77"/>
      <c r="I364" s="77" t="s">
        <v>313</v>
      </c>
      <c r="J364" s="77" t="s">
        <v>313</v>
      </c>
      <c r="K364" s="77" t="s">
        <v>313</v>
      </c>
      <c r="L364" s="77"/>
      <c r="M364" s="77"/>
      <c r="N364" s="40"/>
    </row>
    <row r="365" spans="1:14" ht="14.25" customHeight="1">
      <c r="A365" s="29">
        <f t="shared" si="18"/>
        <v>1.7</v>
      </c>
      <c r="B365" s="201">
        <v>1.7</v>
      </c>
      <c r="C365" s="202">
        <v>34</v>
      </c>
      <c r="D365" s="201" t="s">
        <v>365</v>
      </c>
      <c r="E365" s="201" t="s">
        <v>367</v>
      </c>
      <c r="F365" s="128" t="s">
        <v>160</v>
      </c>
      <c r="G365" s="77"/>
      <c r="H365" s="77"/>
      <c r="I365" s="77"/>
      <c r="J365" s="77"/>
      <c r="K365" s="77"/>
      <c r="L365" s="77"/>
      <c r="M365" s="77"/>
      <c r="N365" s="40"/>
    </row>
    <row r="366" spans="1:14" ht="24" customHeight="1">
      <c r="A366" s="29">
        <f t="shared" si="18"/>
        <v>1.31</v>
      </c>
      <c r="B366" s="201">
        <v>1.31</v>
      </c>
      <c r="C366" s="202" t="s">
        <v>639</v>
      </c>
      <c r="D366" s="201" t="s">
        <v>217</v>
      </c>
      <c r="E366" s="201" t="s">
        <v>367</v>
      </c>
      <c r="F366" s="128" t="s">
        <v>640</v>
      </c>
      <c r="G366" s="77" t="s">
        <v>313</v>
      </c>
      <c r="H366" s="77"/>
      <c r="I366" s="77" t="s">
        <v>313</v>
      </c>
      <c r="J366" s="77" t="s">
        <v>313</v>
      </c>
      <c r="K366" s="77"/>
      <c r="L366" s="94"/>
      <c r="M366" s="77"/>
      <c r="N366" s="43"/>
    </row>
    <row r="367" spans="1:14" ht="29.25" customHeight="1">
      <c r="A367" s="29">
        <f t="shared" si="18"/>
        <v>1.31</v>
      </c>
      <c r="B367" s="201">
        <v>1.31</v>
      </c>
      <c r="C367" s="202" t="s">
        <v>633</v>
      </c>
      <c r="D367" s="201" t="s">
        <v>217</v>
      </c>
      <c r="E367" s="201" t="s">
        <v>367</v>
      </c>
      <c r="F367" s="128" t="s">
        <v>634</v>
      </c>
      <c r="G367" s="77" t="s">
        <v>313</v>
      </c>
      <c r="H367" s="77"/>
      <c r="I367" s="77" t="s">
        <v>313</v>
      </c>
      <c r="J367" s="77" t="s">
        <v>313</v>
      </c>
      <c r="K367" s="77"/>
      <c r="L367" s="94"/>
      <c r="M367" s="77"/>
      <c r="N367" s="43"/>
    </row>
    <row r="368" spans="1:14" ht="26.25" customHeight="1">
      <c r="A368" s="29">
        <f t="shared" si="18"/>
        <v>1.31</v>
      </c>
      <c r="B368" s="201">
        <v>1.31</v>
      </c>
      <c r="C368" s="202" t="s">
        <v>635</v>
      </c>
      <c r="D368" s="201" t="s">
        <v>217</v>
      </c>
      <c r="E368" s="201" t="s">
        <v>367</v>
      </c>
      <c r="F368" s="128" t="s">
        <v>636</v>
      </c>
      <c r="G368" s="77" t="s">
        <v>313</v>
      </c>
      <c r="H368" s="77"/>
      <c r="I368" s="77" t="s">
        <v>313</v>
      </c>
      <c r="J368" s="77" t="s">
        <v>313</v>
      </c>
      <c r="K368" s="77"/>
      <c r="L368" s="94"/>
      <c r="M368" s="77"/>
      <c r="N368" s="43"/>
    </row>
    <row r="369" spans="1:14" ht="26.25" customHeight="1">
      <c r="A369" s="29">
        <f t="shared" si="18"/>
        <v>1.31</v>
      </c>
      <c r="B369" s="201">
        <v>1.31</v>
      </c>
      <c r="C369" s="202" t="s">
        <v>631</v>
      </c>
      <c r="D369" s="201" t="s">
        <v>217</v>
      </c>
      <c r="E369" s="201" t="s">
        <v>367</v>
      </c>
      <c r="F369" s="128" t="s">
        <v>632</v>
      </c>
      <c r="G369" s="77" t="s">
        <v>313</v>
      </c>
      <c r="H369" s="77"/>
      <c r="I369" s="77" t="s">
        <v>313</v>
      </c>
      <c r="J369" s="77" t="s">
        <v>313</v>
      </c>
      <c r="K369" s="77"/>
      <c r="L369" s="77"/>
      <c r="M369" s="77"/>
      <c r="N369" s="40"/>
    </row>
    <row r="370" spans="1:14" ht="46.5" customHeight="1">
      <c r="A370" s="29">
        <f t="shared" si="18"/>
        <v>1.31</v>
      </c>
      <c r="B370" s="201">
        <v>1.31</v>
      </c>
      <c r="C370" s="202" t="s">
        <v>629</v>
      </c>
      <c r="D370" s="201" t="s">
        <v>217</v>
      </c>
      <c r="E370" s="201" t="s">
        <v>367</v>
      </c>
      <c r="F370" s="128" t="s">
        <v>630</v>
      </c>
      <c r="G370" s="77" t="s">
        <v>313</v>
      </c>
      <c r="H370" s="77"/>
      <c r="I370" s="77" t="s">
        <v>313</v>
      </c>
      <c r="J370" s="77" t="s">
        <v>313</v>
      </c>
      <c r="K370" s="77"/>
      <c r="L370" s="77"/>
      <c r="M370" s="77"/>
      <c r="N370" s="40"/>
    </row>
    <row r="371" spans="2:14" ht="25.5" customHeight="1">
      <c r="B371" s="201">
        <v>1.31</v>
      </c>
      <c r="C371" s="202" t="s">
        <v>637</v>
      </c>
      <c r="D371" s="201" t="s">
        <v>217</v>
      </c>
      <c r="E371" s="201" t="s">
        <v>367</v>
      </c>
      <c r="F371" s="128" t="s">
        <v>638</v>
      </c>
      <c r="G371" s="77" t="s">
        <v>313</v>
      </c>
      <c r="H371" s="77"/>
      <c r="I371" s="77" t="s">
        <v>313</v>
      </c>
      <c r="J371" s="77" t="s">
        <v>313</v>
      </c>
      <c r="K371" s="77"/>
      <c r="L371" s="77"/>
      <c r="M371" s="77"/>
      <c r="N371" s="40"/>
    </row>
    <row r="372" spans="1:17" s="14" customFormat="1" ht="0" customHeight="1" hidden="1">
      <c r="A372" s="32"/>
      <c r="B372" s="204"/>
      <c r="C372" s="206" t="s">
        <v>321</v>
      </c>
      <c r="D372" s="206"/>
      <c r="E372" s="205"/>
      <c r="F372" s="124"/>
      <c r="G372" s="83"/>
      <c r="H372" s="83"/>
      <c r="I372" s="83"/>
      <c r="J372" s="84"/>
      <c r="K372" s="83"/>
      <c r="L372" s="83"/>
      <c r="M372" s="116"/>
      <c r="N372" s="23"/>
      <c r="O372" s="1"/>
      <c r="P372" s="1"/>
      <c r="Q372" s="2"/>
    </row>
    <row r="373" spans="2:14" ht="15" customHeight="1">
      <c r="B373" s="230"/>
      <c r="C373" s="239" t="s">
        <v>309</v>
      </c>
      <c r="D373" s="237">
        <f>1!E26</f>
        <v>27</v>
      </c>
      <c r="E373" s="231" t="s">
        <v>221</v>
      </c>
      <c r="F373" s="136" t="s">
        <v>472</v>
      </c>
      <c r="G373" s="95"/>
      <c r="H373" s="96"/>
      <c r="I373" s="97"/>
      <c r="J373" s="97"/>
      <c r="K373" s="97"/>
      <c r="L373" s="97"/>
      <c r="M373" s="117"/>
      <c r="N373" s="39"/>
    </row>
    <row r="374" spans="1:14" ht="16.5" customHeight="1">
      <c r="A374" s="29">
        <f>B374</f>
        <v>1.7</v>
      </c>
      <c r="B374" s="211">
        <v>1.7</v>
      </c>
      <c r="C374" s="212">
        <v>188</v>
      </c>
      <c r="D374" s="211" t="s">
        <v>365</v>
      </c>
      <c r="E374" s="211" t="s">
        <v>221</v>
      </c>
      <c r="F374" s="169" t="s">
        <v>474</v>
      </c>
      <c r="G374" s="77" t="s">
        <v>313</v>
      </c>
      <c r="H374" s="77"/>
      <c r="I374" s="77" t="s">
        <v>313</v>
      </c>
      <c r="J374" s="77" t="s">
        <v>313</v>
      </c>
      <c r="K374" s="77"/>
      <c r="L374" s="77"/>
      <c r="M374" s="77"/>
      <c r="N374" s="40"/>
    </row>
    <row r="375" spans="2:14" ht="16.5" customHeight="1">
      <c r="B375" s="211">
        <v>1.7</v>
      </c>
      <c r="C375" s="212">
        <v>194</v>
      </c>
      <c r="D375" s="211" t="s">
        <v>365</v>
      </c>
      <c r="E375" s="211" t="s">
        <v>221</v>
      </c>
      <c r="F375" s="169" t="s">
        <v>445</v>
      </c>
      <c r="G375" s="77" t="s">
        <v>313</v>
      </c>
      <c r="H375" s="77"/>
      <c r="I375" s="77" t="s">
        <v>313</v>
      </c>
      <c r="J375" s="77" t="s">
        <v>313</v>
      </c>
      <c r="K375" s="77"/>
      <c r="L375" s="77"/>
      <c r="M375" s="77"/>
      <c r="N375" s="40"/>
    </row>
    <row r="376" spans="2:14" ht="16.5" customHeight="1">
      <c r="B376" s="201">
        <v>1.7</v>
      </c>
      <c r="C376" s="202">
        <v>205</v>
      </c>
      <c r="D376" s="201" t="s">
        <v>365</v>
      </c>
      <c r="E376" s="201" t="s">
        <v>221</v>
      </c>
      <c r="F376" s="118" t="s">
        <v>446</v>
      </c>
      <c r="G376" s="77"/>
      <c r="H376" s="77"/>
      <c r="I376" s="77" t="s">
        <v>313</v>
      </c>
      <c r="J376" s="77" t="s">
        <v>313</v>
      </c>
      <c r="K376" s="77"/>
      <c r="L376" s="77"/>
      <c r="M376" s="77"/>
      <c r="N376" s="40"/>
    </row>
    <row r="377" spans="2:14" ht="27" customHeight="1">
      <c r="B377" s="201">
        <v>1.7</v>
      </c>
      <c r="C377" s="202">
        <v>219</v>
      </c>
      <c r="D377" s="201" t="s">
        <v>365</v>
      </c>
      <c r="E377" s="201" t="s">
        <v>221</v>
      </c>
      <c r="F377" s="118" t="s">
        <v>447</v>
      </c>
      <c r="G377" s="77" t="s">
        <v>313</v>
      </c>
      <c r="H377" s="77"/>
      <c r="I377" s="77" t="s">
        <v>313</v>
      </c>
      <c r="J377" s="77" t="s">
        <v>313</v>
      </c>
      <c r="K377" s="77" t="s">
        <v>313</v>
      </c>
      <c r="L377" s="77"/>
      <c r="M377" s="77"/>
      <c r="N377" s="40"/>
    </row>
    <row r="378" spans="2:14" ht="16.5" customHeight="1">
      <c r="B378" s="211">
        <v>1.7</v>
      </c>
      <c r="C378" s="212">
        <v>227</v>
      </c>
      <c r="D378" s="211" t="s">
        <v>365</v>
      </c>
      <c r="E378" s="211" t="s">
        <v>221</v>
      </c>
      <c r="F378" s="169" t="s">
        <v>476</v>
      </c>
      <c r="G378" s="77" t="s">
        <v>313</v>
      </c>
      <c r="H378" s="77"/>
      <c r="I378" s="77" t="s">
        <v>313</v>
      </c>
      <c r="J378" s="77" t="s">
        <v>313</v>
      </c>
      <c r="K378" s="77"/>
      <c r="L378" s="77"/>
      <c r="M378" s="77"/>
      <c r="N378" s="40"/>
    </row>
    <row r="379" spans="1:14" ht="14.25" customHeight="1">
      <c r="A379" s="29">
        <f>B379</f>
        <v>1.7</v>
      </c>
      <c r="B379" s="201">
        <v>1.7</v>
      </c>
      <c r="C379" s="202" t="s">
        <v>673</v>
      </c>
      <c r="D379" s="201" t="s">
        <v>365</v>
      </c>
      <c r="E379" s="201" t="s">
        <v>221</v>
      </c>
      <c r="F379" s="118" t="s">
        <v>366</v>
      </c>
      <c r="G379" s="77" t="s">
        <v>313</v>
      </c>
      <c r="H379" s="77"/>
      <c r="I379" s="77" t="s">
        <v>313</v>
      </c>
      <c r="J379" s="77" t="s">
        <v>313</v>
      </c>
      <c r="K379" s="77" t="s">
        <v>313</v>
      </c>
      <c r="L379" s="77"/>
      <c r="M379" s="77"/>
      <c r="N379" s="40"/>
    </row>
    <row r="380" spans="1:14" ht="14.25" customHeight="1">
      <c r="A380" s="29">
        <f>B380</f>
        <v>1.7</v>
      </c>
      <c r="B380" s="201">
        <v>1.7</v>
      </c>
      <c r="C380" s="202" t="s">
        <v>675</v>
      </c>
      <c r="D380" s="201" t="s">
        <v>365</v>
      </c>
      <c r="E380" s="201" t="s">
        <v>221</v>
      </c>
      <c r="F380" s="118" t="s">
        <v>362</v>
      </c>
      <c r="G380" s="77" t="s">
        <v>313</v>
      </c>
      <c r="H380" s="77"/>
      <c r="I380" s="77" t="s">
        <v>313</v>
      </c>
      <c r="J380" s="77" t="s">
        <v>313</v>
      </c>
      <c r="K380" s="77" t="s">
        <v>313</v>
      </c>
      <c r="L380" s="77"/>
      <c r="M380" s="77"/>
      <c r="N380" s="40"/>
    </row>
    <row r="381" spans="1:14" ht="25.5" customHeight="1">
      <c r="A381" s="29">
        <f aca="true" t="shared" si="19" ref="A381:A400">B381</f>
        <v>1.7</v>
      </c>
      <c r="B381" s="201">
        <v>1.7</v>
      </c>
      <c r="C381" s="202">
        <v>37</v>
      </c>
      <c r="D381" s="201" t="s">
        <v>365</v>
      </c>
      <c r="E381" s="201" t="s">
        <v>221</v>
      </c>
      <c r="F381" s="128" t="s">
        <v>222</v>
      </c>
      <c r="G381" s="77"/>
      <c r="H381" s="77"/>
      <c r="I381" s="77"/>
      <c r="J381" s="77"/>
      <c r="K381" s="77"/>
      <c r="L381" s="77"/>
      <c r="M381" s="77"/>
      <c r="N381" s="40"/>
    </row>
    <row r="382" spans="1:14" ht="14.25" customHeight="1">
      <c r="A382" s="29">
        <f t="shared" si="19"/>
        <v>1.7</v>
      </c>
      <c r="B382" s="201">
        <v>1.7</v>
      </c>
      <c r="C382" s="202">
        <v>23</v>
      </c>
      <c r="D382" s="201" t="s">
        <v>365</v>
      </c>
      <c r="E382" s="201" t="s">
        <v>221</v>
      </c>
      <c r="F382" s="128" t="s">
        <v>27</v>
      </c>
      <c r="G382" s="77" t="s">
        <v>313</v>
      </c>
      <c r="H382" s="77"/>
      <c r="I382" s="77" t="s">
        <v>313</v>
      </c>
      <c r="J382" s="77" t="s">
        <v>313</v>
      </c>
      <c r="K382" s="77"/>
      <c r="L382" s="77"/>
      <c r="M382" s="77"/>
      <c r="N382" s="40"/>
    </row>
    <row r="383" spans="1:14" ht="25.5" customHeight="1">
      <c r="A383" s="29">
        <f t="shared" si="19"/>
        <v>1.7</v>
      </c>
      <c r="B383" s="201">
        <v>1.7</v>
      </c>
      <c r="C383" s="202">
        <v>32</v>
      </c>
      <c r="D383" s="201" t="s">
        <v>365</v>
      </c>
      <c r="E383" s="201" t="s">
        <v>221</v>
      </c>
      <c r="F383" s="128" t="s">
        <v>456</v>
      </c>
      <c r="G383" s="77" t="s">
        <v>313</v>
      </c>
      <c r="H383" s="77"/>
      <c r="I383" s="77" t="s">
        <v>313</v>
      </c>
      <c r="J383" s="77" t="s">
        <v>313</v>
      </c>
      <c r="K383" s="77"/>
      <c r="L383" s="77"/>
      <c r="M383" s="77"/>
      <c r="N383" s="40"/>
    </row>
    <row r="384" spans="1:14" ht="14.25" customHeight="1">
      <c r="A384" s="29">
        <f t="shared" si="19"/>
        <v>1.7</v>
      </c>
      <c r="B384" s="201">
        <v>1.7</v>
      </c>
      <c r="C384" s="202">
        <v>53</v>
      </c>
      <c r="D384" s="201" t="s">
        <v>365</v>
      </c>
      <c r="E384" s="201" t="s">
        <v>221</v>
      </c>
      <c r="F384" s="118" t="s">
        <v>28</v>
      </c>
      <c r="G384" s="77" t="s">
        <v>313</v>
      </c>
      <c r="H384" s="77"/>
      <c r="I384" s="77" t="s">
        <v>313</v>
      </c>
      <c r="J384" s="77" t="s">
        <v>313</v>
      </c>
      <c r="K384" s="77"/>
      <c r="L384" s="77"/>
      <c r="M384" s="77"/>
      <c r="N384" s="40"/>
    </row>
    <row r="385" spans="1:14" ht="25.5" customHeight="1">
      <c r="A385" s="29">
        <f t="shared" si="19"/>
        <v>1.31</v>
      </c>
      <c r="B385" s="201">
        <v>1.31</v>
      </c>
      <c r="C385" s="202" t="s">
        <v>609</v>
      </c>
      <c r="D385" s="201" t="s">
        <v>217</v>
      </c>
      <c r="E385" s="201" t="s">
        <v>221</v>
      </c>
      <c r="F385" s="128" t="s">
        <v>611</v>
      </c>
      <c r="G385" s="77" t="s">
        <v>313</v>
      </c>
      <c r="H385" s="77"/>
      <c r="I385" s="77" t="s">
        <v>313</v>
      </c>
      <c r="J385" s="77" t="s">
        <v>313</v>
      </c>
      <c r="K385" s="77"/>
      <c r="L385" s="77"/>
      <c r="M385" s="77"/>
      <c r="N385" s="40"/>
    </row>
    <row r="386" spans="1:14" ht="25.5" customHeight="1">
      <c r="A386" s="29">
        <f t="shared" si="19"/>
        <v>1.31</v>
      </c>
      <c r="B386" s="201">
        <v>1.31</v>
      </c>
      <c r="C386" s="202" t="s">
        <v>610</v>
      </c>
      <c r="D386" s="201" t="s">
        <v>217</v>
      </c>
      <c r="E386" s="201" t="s">
        <v>221</v>
      </c>
      <c r="F386" s="128" t="s">
        <v>612</v>
      </c>
      <c r="G386" s="77" t="s">
        <v>313</v>
      </c>
      <c r="H386" s="77"/>
      <c r="I386" s="77" t="s">
        <v>313</v>
      </c>
      <c r="J386" s="77" t="s">
        <v>313</v>
      </c>
      <c r="K386" s="77"/>
      <c r="L386" s="77"/>
      <c r="M386" s="77"/>
      <c r="N386" s="40"/>
    </row>
    <row r="387" spans="1:14" ht="25.5" customHeight="1">
      <c r="A387" s="29">
        <f t="shared" si="19"/>
        <v>1.31</v>
      </c>
      <c r="B387" s="201">
        <v>1.31</v>
      </c>
      <c r="C387" s="202" t="s">
        <v>608</v>
      </c>
      <c r="D387" s="201" t="s">
        <v>217</v>
      </c>
      <c r="E387" s="201" t="s">
        <v>221</v>
      </c>
      <c r="F387" s="128" t="s">
        <v>607</v>
      </c>
      <c r="G387" s="77" t="s">
        <v>313</v>
      </c>
      <c r="H387" s="77"/>
      <c r="I387" s="77" t="s">
        <v>313</v>
      </c>
      <c r="J387" s="77" t="s">
        <v>313</v>
      </c>
      <c r="K387" s="77"/>
      <c r="L387" s="77"/>
      <c r="M387" s="77"/>
      <c r="N387" s="40"/>
    </row>
    <row r="388" spans="1:14" ht="25.5" customHeight="1">
      <c r="A388" s="29">
        <f t="shared" si="19"/>
        <v>1.31</v>
      </c>
      <c r="B388" s="201">
        <v>1.31</v>
      </c>
      <c r="C388" s="202" t="s">
        <v>605</v>
      </c>
      <c r="D388" s="201" t="s">
        <v>217</v>
      </c>
      <c r="E388" s="201" t="s">
        <v>221</v>
      </c>
      <c r="F388" s="128" t="s">
        <v>606</v>
      </c>
      <c r="G388" s="77" t="s">
        <v>313</v>
      </c>
      <c r="H388" s="77"/>
      <c r="I388" s="77" t="s">
        <v>313</v>
      </c>
      <c r="J388" s="77" t="s">
        <v>313</v>
      </c>
      <c r="K388" s="77"/>
      <c r="L388" s="77"/>
      <c r="M388" s="77"/>
      <c r="N388" s="40"/>
    </row>
    <row r="389" spans="1:14" ht="25.5" customHeight="1">
      <c r="A389" s="29">
        <f t="shared" si="19"/>
        <v>1.31</v>
      </c>
      <c r="B389" s="201">
        <v>1.31</v>
      </c>
      <c r="C389" s="202" t="s">
        <v>621</v>
      </c>
      <c r="D389" s="201" t="s">
        <v>217</v>
      </c>
      <c r="E389" s="201" t="s">
        <v>221</v>
      </c>
      <c r="F389" s="128" t="s">
        <v>622</v>
      </c>
      <c r="G389" s="77" t="s">
        <v>313</v>
      </c>
      <c r="H389" s="77"/>
      <c r="I389" s="77" t="s">
        <v>313</v>
      </c>
      <c r="J389" s="77" t="s">
        <v>313</v>
      </c>
      <c r="K389" s="77"/>
      <c r="L389" s="77"/>
      <c r="M389" s="77"/>
      <c r="N389" s="40"/>
    </row>
    <row r="390" spans="1:14" ht="23.25" customHeight="1">
      <c r="A390" s="29">
        <f t="shared" si="19"/>
        <v>1.31</v>
      </c>
      <c r="B390" s="201">
        <v>1.31</v>
      </c>
      <c r="C390" s="202" t="s">
        <v>623</v>
      </c>
      <c r="D390" s="201" t="s">
        <v>217</v>
      </c>
      <c r="E390" s="201" t="s">
        <v>221</v>
      </c>
      <c r="F390" s="128" t="s">
        <v>624</v>
      </c>
      <c r="G390" s="77" t="s">
        <v>313</v>
      </c>
      <c r="H390" s="77"/>
      <c r="I390" s="77" t="s">
        <v>313</v>
      </c>
      <c r="J390" s="77" t="s">
        <v>313</v>
      </c>
      <c r="K390" s="77"/>
      <c r="L390" s="77"/>
      <c r="M390" s="77"/>
      <c r="N390" s="40"/>
    </row>
    <row r="391" spans="1:14" ht="14.25" customHeight="1">
      <c r="A391" s="29">
        <f t="shared" si="19"/>
        <v>1.31</v>
      </c>
      <c r="B391" s="201">
        <v>1.31</v>
      </c>
      <c r="C391" s="202" t="s">
        <v>619</v>
      </c>
      <c r="D391" s="201" t="s">
        <v>217</v>
      </c>
      <c r="E391" s="201" t="s">
        <v>221</v>
      </c>
      <c r="F391" s="128" t="s">
        <v>620</v>
      </c>
      <c r="G391" s="77" t="s">
        <v>313</v>
      </c>
      <c r="H391" s="77"/>
      <c r="I391" s="77" t="s">
        <v>313</v>
      </c>
      <c r="J391" s="77" t="s">
        <v>313</v>
      </c>
      <c r="K391" s="77"/>
      <c r="L391" s="77"/>
      <c r="M391" s="77"/>
      <c r="N391" s="40"/>
    </row>
    <row r="392" spans="1:14" ht="14.25" customHeight="1">
      <c r="A392" s="29">
        <f t="shared" si="19"/>
        <v>1.31</v>
      </c>
      <c r="B392" s="201">
        <v>1.31</v>
      </c>
      <c r="C392" s="202" t="s">
        <v>616</v>
      </c>
      <c r="D392" s="201" t="s">
        <v>217</v>
      </c>
      <c r="E392" s="201" t="s">
        <v>221</v>
      </c>
      <c r="F392" s="128" t="s">
        <v>617</v>
      </c>
      <c r="G392" s="77" t="s">
        <v>313</v>
      </c>
      <c r="H392" s="77"/>
      <c r="I392" s="77" t="s">
        <v>313</v>
      </c>
      <c r="J392" s="77" t="s">
        <v>313</v>
      </c>
      <c r="K392" s="77"/>
      <c r="L392" s="77"/>
      <c r="M392" s="77"/>
      <c r="N392" s="40"/>
    </row>
    <row r="393" spans="1:14" ht="14.25" customHeight="1">
      <c r="A393" s="29">
        <f t="shared" si="19"/>
        <v>1.31</v>
      </c>
      <c r="B393" s="201">
        <v>1.31</v>
      </c>
      <c r="C393" s="202" t="s">
        <v>597</v>
      </c>
      <c r="D393" s="201" t="s">
        <v>217</v>
      </c>
      <c r="E393" s="201" t="s">
        <v>221</v>
      </c>
      <c r="F393" s="128" t="s">
        <v>598</v>
      </c>
      <c r="G393" s="77" t="s">
        <v>313</v>
      </c>
      <c r="H393" s="77"/>
      <c r="I393" s="77" t="s">
        <v>313</v>
      </c>
      <c r="J393" s="77" t="s">
        <v>313</v>
      </c>
      <c r="K393" s="77"/>
      <c r="L393" s="77"/>
      <c r="M393" s="77"/>
      <c r="N393" s="40"/>
    </row>
    <row r="394" spans="1:14" ht="14.25" customHeight="1">
      <c r="A394" s="29">
        <f t="shared" si="19"/>
        <v>1.31</v>
      </c>
      <c r="B394" s="201">
        <v>1.31</v>
      </c>
      <c r="C394" s="202" t="s">
        <v>599</v>
      </c>
      <c r="D394" s="201" t="s">
        <v>217</v>
      </c>
      <c r="E394" s="201" t="s">
        <v>221</v>
      </c>
      <c r="F394" s="128" t="s">
        <v>600</v>
      </c>
      <c r="G394" s="77" t="s">
        <v>313</v>
      </c>
      <c r="H394" s="77"/>
      <c r="I394" s="77" t="s">
        <v>313</v>
      </c>
      <c r="J394" s="77" t="s">
        <v>313</v>
      </c>
      <c r="K394" s="77"/>
      <c r="L394" s="77"/>
      <c r="M394" s="77"/>
      <c r="N394" s="40"/>
    </row>
    <row r="395" spans="1:14" ht="14.25" customHeight="1">
      <c r="A395" s="29">
        <f t="shared" si="19"/>
        <v>1.31</v>
      </c>
      <c r="B395" s="201">
        <v>1.31</v>
      </c>
      <c r="C395" s="202" t="s">
        <v>615</v>
      </c>
      <c r="D395" s="201" t="s">
        <v>217</v>
      </c>
      <c r="E395" s="201" t="s">
        <v>221</v>
      </c>
      <c r="F395" s="128" t="s">
        <v>618</v>
      </c>
      <c r="G395" s="77" t="s">
        <v>313</v>
      </c>
      <c r="H395" s="77"/>
      <c r="I395" s="77" t="s">
        <v>313</v>
      </c>
      <c r="J395" s="77" t="s">
        <v>313</v>
      </c>
      <c r="K395" s="77"/>
      <c r="L395" s="77"/>
      <c r="M395" s="77"/>
      <c r="N395" s="40"/>
    </row>
    <row r="396" spans="1:14" ht="14.25" customHeight="1">
      <c r="A396" s="29">
        <f t="shared" si="19"/>
        <v>1.31</v>
      </c>
      <c r="B396" s="201">
        <v>1.31</v>
      </c>
      <c r="C396" s="202" t="s">
        <v>613</v>
      </c>
      <c r="D396" s="201" t="s">
        <v>217</v>
      </c>
      <c r="E396" s="201" t="s">
        <v>221</v>
      </c>
      <c r="F396" s="128" t="s">
        <v>614</v>
      </c>
      <c r="G396" s="77" t="s">
        <v>313</v>
      </c>
      <c r="H396" s="77"/>
      <c r="I396" s="77" t="s">
        <v>313</v>
      </c>
      <c r="J396" s="77" t="s">
        <v>313</v>
      </c>
      <c r="K396" s="77"/>
      <c r="L396" s="77"/>
      <c r="M396" s="77"/>
      <c r="N396" s="40"/>
    </row>
    <row r="397" spans="1:14" ht="25.5" customHeight="1">
      <c r="A397" s="29">
        <f t="shared" si="19"/>
        <v>1.8</v>
      </c>
      <c r="B397" s="201">
        <v>1.8</v>
      </c>
      <c r="C397" s="202">
        <v>146</v>
      </c>
      <c r="D397" s="201" t="s">
        <v>217</v>
      </c>
      <c r="E397" s="201" t="s">
        <v>221</v>
      </c>
      <c r="F397" s="128" t="s">
        <v>364</v>
      </c>
      <c r="G397" s="77" t="s">
        <v>313</v>
      </c>
      <c r="H397" s="77"/>
      <c r="I397" s="77" t="s">
        <v>313</v>
      </c>
      <c r="J397" s="77" t="s">
        <v>313</v>
      </c>
      <c r="K397" s="77"/>
      <c r="L397" s="77"/>
      <c r="M397" s="77"/>
      <c r="N397" s="40"/>
    </row>
    <row r="398" spans="1:14" ht="14.25" customHeight="1">
      <c r="A398" s="29">
        <f t="shared" si="19"/>
        <v>1.31</v>
      </c>
      <c r="B398" s="201">
        <v>1.31</v>
      </c>
      <c r="C398" s="202" t="s">
        <v>601</v>
      </c>
      <c r="D398" s="201" t="s">
        <v>217</v>
      </c>
      <c r="E398" s="201" t="s">
        <v>221</v>
      </c>
      <c r="F398" s="128" t="s">
        <v>602</v>
      </c>
      <c r="G398" s="77"/>
      <c r="H398" s="77"/>
      <c r="I398" s="77" t="s">
        <v>313</v>
      </c>
      <c r="J398" s="77" t="s">
        <v>313</v>
      </c>
      <c r="K398" s="77"/>
      <c r="L398" s="77"/>
      <c r="M398" s="77"/>
      <c r="N398" s="40"/>
    </row>
    <row r="399" spans="1:14" ht="14.25" customHeight="1">
      <c r="A399" s="29">
        <f t="shared" si="19"/>
        <v>1.31</v>
      </c>
      <c r="B399" s="201">
        <v>1.31</v>
      </c>
      <c r="C399" s="202" t="s">
        <v>603</v>
      </c>
      <c r="D399" s="201" t="s">
        <v>217</v>
      </c>
      <c r="E399" s="201" t="s">
        <v>221</v>
      </c>
      <c r="F399" s="128" t="s">
        <v>604</v>
      </c>
      <c r="G399" s="77" t="s">
        <v>313</v>
      </c>
      <c r="H399" s="77"/>
      <c r="I399" s="77" t="s">
        <v>313</v>
      </c>
      <c r="J399" s="77" t="s">
        <v>313</v>
      </c>
      <c r="K399" s="77"/>
      <c r="L399" s="77"/>
      <c r="M399" s="77"/>
      <c r="N399" s="40"/>
    </row>
    <row r="400" spans="1:14" ht="25.5" customHeight="1">
      <c r="A400" s="29">
        <f t="shared" si="19"/>
        <v>1.31</v>
      </c>
      <c r="B400" s="201">
        <v>1.31</v>
      </c>
      <c r="C400" s="202" t="s">
        <v>625</v>
      </c>
      <c r="D400" s="201" t="s">
        <v>217</v>
      </c>
      <c r="E400" s="201" t="s">
        <v>221</v>
      </c>
      <c r="F400" s="128" t="s">
        <v>626</v>
      </c>
      <c r="G400" s="77" t="s">
        <v>313</v>
      </c>
      <c r="H400" s="77"/>
      <c r="I400" s="77" t="s">
        <v>313</v>
      </c>
      <c r="J400" s="77" t="s">
        <v>313</v>
      </c>
      <c r="K400" s="77"/>
      <c r="L400" s="77"/>
      <c r="M400" s="77"/>
      <c r="N400" s="40"/>
    </row>
    <row r="401" spans="1:17" s="14" customFormat="1" ht="0" customHeight="1" hidden="1">
      <c r="A401" s="32"/>
      <c r="B401" s="204"/>
      <c r="C401" s="206" t="s">
        <v>321</v>
      </c>
      <c r="D401" s="206"/>
      <c r="E401" s="205"/>
      <c r="F401" s="124"/>
      <c r="G401" s="83"/>
      <c r="H401" s="83"/>
      <c r="I401" s="83"/>
      <c r="J401" s="84"/>
      <c r="K401" s="83"/>
      <c r="L401" s="83"/>
      <c r="M401" s="116"/>
      <c r="N401" s="23"/>
      <c r="O401" s="1"/>
      <c r="P401" s="1"/>
      <c r="Q401" s="2"/>
    </row>
    <row r="402" spans="2:14" ht="15" customHeight="1">
      <c r="B402" s="230"/>
      <c r="C402" s="239" t="s">
        <v>309</v>
      </c>
      <c r="D402" s="237">
        <f>1!E27</f>
        <v>22</v>
      </c>
      <c r="E402" s="231" t="s">
        <v>156</v>
      </c>
      <c r="F402" s="136" t="s">
        <v>157</v>
      </c>
      <c r="G402" s="95"/>
      <c r="H402" s="96"/>
      <c r="I402" s="97"/>
      <c r="J402" s="97"/>
      <c r="K402" s="97"/>
      <c r="L402" s="97"/>
      <c r="M402" s="117"/>
      <c r="N402" s="39"/>
    </row>
    <row r="403" spans="2:14" ht="14.25" customHeight="1">
      <c r="B403" s="211">
        <v>1.7</v>
      </c>
      <c r="C403" s="212">
        <v>220</v>
      </c>
      <c r="D403" s="211" t="s">
        <v>365</v>
      </c>
      <c r="E403" s="211" t="s">
        <v>156</v>
      </c>
      <c r="F403" s="169" t="s">
        <v>699</v>
      </c>
      <c r="G403" s="77" t="s">
        <v>313</v>
      </c>
      <c r="H403" s="77"/>
      <c r="I403" s="77" t="s">
        <v>313</v>
      </c>
      <c r="J403" s="77" t="s">
        <v>313</v>
      </c>
      <c r="K403" s="77"/>
      <c r="L403" s="77"/>
      <c r="M403" s="77"/>
      <c r="N403" s="40"/>
    </row>
    <row r="404" spans="2:14" ht="14.25" customHeight="1">
      <c r="B404" s="211">
        <v>1.7</v>
      </c>
      <c r="C404" s="212" t="s">
        <v>672</v>
      </c>
      <c r="D404" s="211" t="s">
        <v>365</v>
      </c>
      <c r="E404" s="211" t="s">
        <v>156</v>
      </c>
      <c r="F404" s="169" t="s">
        <v>201</v>
      </c>
      <c r="G404" s="77" t="s">
        <v>313</v>
      </c>
      <c r="H404" s="77"/>
      <c r="I404" s="77" t="s">
        <v>313</v>
      </c>
      <c r="J404" s="77" t="s">
        <v>313</v>
      </c>
      <c r="K404" s="77"/>
      <c r="L404" s="77"/>
      <c r="M404" s="77"/>
      <c r="N404" s="40"/>
    </row>
    <row r="405" spans="2:14" ht="14.25" customHeight="1">
      <c r="B405" s="211">
        <v>1.7</v>
      </c>
      <c r="C405" s="212" t="s">
        <v>674</v>
      </c>
      <c r="D405" s="211" t="s">
        <v>365</v>
      </c>
      <c r="E405" s="211" t="s">
        <v>156</v>
      </c>
      <c r="F405" s="169" t="s">
        <v>202</v>
      </c>
      <c r="G405" s="77" t="s">
        <v>313</v>
      </c>
      <c r="H405" s="77"/>
      <c r="I405" s="77" t="s">
        <v>313</v>
      </c>
      <c r="J405" s="77" t="s">
        <v>313</v>
      </c>
      <c r="K405" s="77"/>
      <c r="L405" s="77"/>
      <c r="M405" s="77"/>
      <c r="N405" s="40"/>
    </row>
    <row r="406" spans="2:14" ht="14.25" customHeight="1">
      <c r="B406" s="201">
        <v>1.7</v>
      </c>
      <c r="C406" s="202" t="s">
        <v>677</v>
      </c>
      <c r="D406" s="201" t="s">
        <v>365</v>
      </c>
      <c r="E406" s="201" t="s">
        <v>156</v>
      </c>
      <c r="F406" s="118" t="s">
        <v>433</v>
      </c>
      <c r="G406" s="77" t="s">
        <v>313</v>
      </c>
      <c r="H406" s="77"/>
      <c r="I406" s="77" t="s">
        <v>313</v>
      </c>
      <c r="J406" s="77" t="s">
        <v>313</v>
      </c>
      <c r="K406" s="77"/>
      <c r="L406" s="77"/>
      <c r="M406" s="77"/>
      <c r="N406" s="40"/>
    </row>
    <row r="407" spans="2:14" ht="14.25" customHeight="1">
      <c r="B407" s="201">
        <v>1.7</v>
      </c>
      <c r="C407" s="202" t="s">
        <v>668</v>
      </c>
      <c r="D407" s="201" t="s">
        <v>365</v>
      </c>
      <c r="E407" s="201" t="s">
        <v>156</v>
      </c>
      <c r="F407" s="195" t="s">
        <v>667</v>
      </c>
      <c r="G407" s="77" t="s">
        <v>313</v>
      </c>
      <c r="H407" s="77"/>
      <c r="I407" s="77" t="s">
        <v>313</v>
      </c>
      <c r="J407" s="77" t="s">
        <v>313</v>
      </c>
      <c r="K407" s="77" t="s">
        <v>313</v>
      </c>
      <c r="L407" s="77"/>
      <c r="M407" s="77"/>
      <c r="N407" s="40"/>
    </row>
    <row r="408" spans="2:14" ht="14.25" customHeight="1">
      <c r="B408" s="201">
        <v>1.7</v>
      </c>
      <c r="C408" s="202" t="s">
        <v>706</v>
      </c>
      <c r="D408" s="201" t="s">
        <v>365</v>
      </c>
      <c r="E408" s="201" t="s">
        <v>156</v>
      </c>
      <c r="F408" s="195" t="s">
        <v>705</v>
      </c>
      <c r="G408" s="77"/>
      <c r="H408" s="77"/>
      <c r="I408" s="77"/>
      <c r="J408" s="77"/>
      <c r="K408" s="77"/>
      <c r="L408" s="77"/>
      <c r="M408" s="77"/>
      <c r="N408" s="40"/>
    </row>
    <row r="409" spans="1:14" ht="14.25" customHeight="1">
      <c r="A409" s="29">
        <f>B409</f>
        <v>1.7</v>
      </c>
      <c r="B409" s="201">
        <v>1.7</v>
      </c>
      <c r="C409" s="202" t="s">
        <v>669</v>
      </c>
      <c r="D409" s="201" t="s">
        <v>365</v>
      </c>
      <c r="E409" s="201" t="s">
        <v>156</v>
      </c>
      <c r="F409" s="128" t="s">
        <v>29</v>
      </c>
      <c r="G409" s="77"/>
      <c r="H409" s="77"/>
      <c r="I409" s="77"/>
      <c r="J409" s="77"/>
      <c r="K409" s="77"/>
      <c r="L409" s="77"/>
      <c r="M409" s="77"/>
      <c r="N409" s="40"/>
    </row>
    <row r="410" spans="1:14" ht="14.25" customHeight="1">
      <c r="A410" s="29">
        <f>B410</f>
        <v>1.7</v>
      </c>
      <c r="B410" s="201">
        <v>1.7</v>
      </c>
      <c r="C410" s="202" t="s">
        <v>670</v>
      </c>
      <c r="D410" s="201" t="s">
        <v>365</v>
      </c>
      <c r="E410" s="201" t="s">
        <v>156</v>
      </c>
      <c r="F410" s="128" t="s">
        <v>30</v>
      </c>
      <c r="G410" s="77" t="s">
        <v>313</v>
      </c>
      <c r="H410" s="77"/>
      <c r="I410" s="77" t="s">
        <v>313</v>
      </c>
      <c r="J410" s="77" t="s">
        <v>313</v>
      </c>
      <c r="K410" s="77"/>
      <c r="L410" s="77"/>
      <c r="M410" s="77" t="s">
        <v>313</v>
      </c>
      <c r="N410" s="40"/>
    </row>
    <row r="411" spans="2:14" ht="14.25" customHeight="1">
      <c r="B411" s="211">
        <v>1.7</v>
      </c>
      <c r="C411" s="212" t="s">
        <v>676</v>
      </c>
      <c r="D411" s="211" t="s">
        <v>365</v>
      </c>
      <c r="E411" s="211" t="s">
        <v>156</v>
      </c>
      <c r="F411" s="169" t="s">
        <v>434</v>
      </c>
      <c r="G411" s="77" t="s">
        <v>313</v>
      </c>
      <c r="H411" s="77"/>
      <c r="I411" s="77" t="s">
        <v>313</v>
      </c>
      <c r="J411" s="77" t="s">
        <v>313</v>
      </c>
      <c r="K411" s="77"/>
      <c r="L411" s="77"/>
      <c r="M411" s="77"/>
      <c r="N411" s="40"/>
    </row>
    <row r="412" spans="2:14" ht="14.25" customHeight="1">
      <c r="B412" s="201">
        <v>1.7</v>
      </c>
      <c r="C412" s="202" t="s">
        <v>671</v>
      </c>
      <c r="D412" s="201" t="s">
        <v>365</v>
      </c>
      <c r="E412" s="201" t="s">
        <v>156</v>
      </c>
      <c r="F412" s="128" t="s">
        <v>104</v>
      </c>
      <c r="G412" s="77" t="s">
        <v>313</v>
      </c>
      <c r="H412" s="77"/>
      <c r="I412" s="77" t="s">
        <v>313</v>
      </c>
      <c r="J412" s="77" t="s">
        <v>313</v>
      </c>
      <c r="K412" s="77"/>
      <c r="L412" s="77"/>
      <c r="M412" s="77"/>
      <c r="N412" s="40"/>
    </row>
    <row r="413" spans="2:14" ht="25.5" customHeight="1">
      <c r="B413" s="211">
        <v>1.7</v>
      </c>
      <c r="C413" s="212" t="s">
        <v>678</v>
      </c>
      <c r="D413" s="211" t="s">
        <v>365</v>
      </c>
      <c r="E413" s="211" t="s">
        <v>156</v>
      </c>
      <c r="F413" s="169" t="s">
        <v>435</v>
      </c>
      <c r="G413" s="77" t="s">
        <v>313</v>
      </c>
      <c r="H413" s="77"/>
      <c r="I413" s="77" t="s">
        <v>313</v>
      </c>
      <c r="J413" s="77" t="s">
        <v>313</v>
      </c>
      <c r="K413" s="77"/>
      <c r="L413" s="77"/>
      <c r="M413" s="77"/>
      <c r="N413" s="40"/>
    </row>
    <row r="414" spans="1:14" ht="25.5" customHeight="1">
      <c r="A414" s="29">
        <f>B414</f>
        <v>1.7</v>
      </c>
      <c r="B414" s="201">
        <v>1.7</v>
      </c>
      <c r="C414" s="202" t="s">
        <v>679</v>
      </c>
      <c r="D414" s="201" t="s">
        <v>365</v>
      </c>
      <c r="E414" s="201" t="s">
        <v>156</v>
      </c>
      <c r="F414" s="128" t="s">
        <v>436</v>
      </c>
      <c r="G414" s="77" t="s">
        <v>313</v>
      </c>
      <c r="H414" s="77"/>
      <c r="I414" s="77" t="s">
        <v>313</v>
      </c>
      <c r="J414" s="77" t="s">
        <v>313</v>
      </c>
      <c r="K414" s="77"/>
      <c r="L414" s="77"/>
      <c r="M414" s="77"/>
      <c r="N414" s="40"/>
    </row>
    <row r="415" spans="1:14" ht="14.25" customHeight="1">
      <c r="A415" s="29">
        <f aca="true" t="shared" si="20" ref="A415:A424">B415</f>
        <v>1.31</v>
      </c>
      <c r="B415" s="201">
        <v>1.31</v>
      </c>
      <c r="C415" s="202" t="s">
        <v>583</v>
      </c>
      <c r="D415" s="201" t="s">
        <v>217</v>
      </c>
      <c r="E415" s="201" t="s">
        <v>156</v>
      </c>
      <c r="F415" s="128" t="s">
        <v>584</v>
      </c>
      <c r="G415" s="77" t="s">
        <v>313</v>
      </c>
      <c r="H415" s="77"/>
      <c r="I415" s="77" t="s">
        <v>313</v>
      </c>
      <c r="J415" s="77" t="s">
        <v>313</v>
      </c>
      <c r="K415" s="77"/>
      <c r="L415" s="77"/>
      <c r="M415" s="77"/>
      <c r="N415" s="40"/>
    </row>
    <row r="416" spans="1:14" ht="14.25" customHeight="1">
      <c r="A416" s="29">
        <f t="shared" si="20"/>
        <v>1.31</v>
      </c>
      <c r="B416" s="213">
        <v>1.31</v>
      </c>
      <c r="C416" s="214" t="s">
        <v>586</v>
      </c>
      <c r="D416" s="213" t="s">
        <v>217</v>
      </c>
      <c r="E416" s="213" t="s">
        <v>156</v>
      </c>
      <c r="F416" s="175" t="s">
        <v>585</v>
      </c>
      <c r="G416" s="77" t="s">
        <v>313</v>
      </c>
      <c r="H416" s="77"/>
      <c r="I416" s="77" t="s">
        <v>313</v>
      </c>
      <c r="J416" s="77" t="s">
        <v>313</v>
      </c>
      <c r="K416" s="77"/>
      <c r="L416" s="77"/>
      <c r="M416" s="77"/>
      <c r="N416" s="40"/>
    </row>
    <row r="417" spans="1:14" ht="25.5" customHeight="1">
      <c r="A417" s="29">
        <f t="shared" si="20"/>
        <v>1.31</v>
      </c>
      <c r="B417" s="201">
        <v>1.31</v>
      </c>
      <c r="C417" s="202" t="s">
        <v>594</v>
      </c>
      <c r="D417" s="201" t="s">
        <v>217</v>
      </c>
      <c r="E417" s="201" t="s">
        <v>156</v>
      </c>
      <c r="F417" s="128" t="s">
        <v>593</v>
      </c>
      <c r="G417" s="77" t="s">
        <v>313</v>
      </c>
      <c r="H417" s="77"/>
      <c r="I417" s="77" t="s">
        <v>313</v>
      </c>
      <c r="J417" s="77" t="s">
        <v>313</v>
      </c>
      <c r="K417" s="77"/>
      <c r="L417" s="77"/>
      <c r="M417" s="77"/>
      <c r="N417" s="40"/>
    </row>
    <row r="418" spans="1:14" ht="25.5" customHeight="1">
      <c r="A418" s="29">
        <f t="shared" si="20"/>
        <v>1.31</v>
      </c>
      <c r="B418" s="201">
        <v>1.31</v>
      </c>
      <c r="C418" s="202" t="s">
        <v>592</v>
      </c>
      <c r="D418" s="201" t="s">
        <v>217</v>
      </c>
      <c r="E418" s="201" t="s">
        <v>156</v>
      </c>
      <c r="F418" s="128" t="s">
        <v>591</v>
      </c>
      <c r="G418" s="77" t="s">
        <v>313</v>
      </c>
      <c r="H418" s="77"/>
      <c r="I418" s="77" t="s">
        <v>313</v>
      </c>
      <c r="J418" s="77" t="s">
        <v>313</v>
      </c>
      <c r="K418" s="77"/>
      <c r="L418" s="77"/>
      <c r="M418" s="77"/>
      <c r="N418" s="40"/>
    </row>
    <row r="419" spans="1:14" ht="14.25" customHeight="1">
      <c r="A419" s="29">
        <f t="shared" si="20"/>
        <v>1.31</v>
      </c>
      <c r="B419" s="201">
        <v>1.31</v>
      </c>
      <c r="C419" s="202" t="s">
        <v>663</v>
      </c>
      <c r="D419" s="201" t="s">
        <v>217</v>
      </c>
      <c r="E419" s="201" t="s">
        <v>156</v>
      </c>
      <c r="F419" s="128" t="s">
        <v>664</v>
      </c>
      <c r="G419" s="77" t="s">
        <v>313</v>
      </c>
      <c r="H419" s="77"/>
      <c r="I419" s="77" t="s">
        <v>313</v>
      </c>
      <c r="J419" s="77" t="s">
        <v>313</v>
      </c>
      <c r="K419" s="77"/>
      <c r="L419" s="77"/>
      <c r="M419" s="77"/>
      <c r="N419" s="40"/>
    </row>
    <row r="420" spans="1:14" ht="14.25" customHeight="1">
      <c r="A420" s="29">
        <f t="shared" si="20"/>
        <v>1.31</v>
      </c>
      <c r="B420" s="201">
        <v>1.31</v>
      </c>
      <c r="C420" s="202" t="s">
        <v>627</v>
      </c>
      <c r="D420" s="201" t="s">
        <v>217</v>
      </c>
      <c r="E420" s="201" t="s">
        <v>156</v>
      </c>
      <c r="F420" s="128" t="s">
        <v>628</v>
      </c>
      <c r="G420" s="77" t="s">
        <v>313</v>
      </c>
      <c r="H420" s="77"/>
      <c r="I420" s="77" t="s">
        <v>313</v>
      </c>
      <c r="J420" s="77" t="s">
        <v>313</v>
      </c>
      <c r="K420" s="77"/>
      <c r="L420" s="77"/>
      <c r="M420" s="77"/>
      <c r="N420" s="40"/>
    </row>
    <row r="421" spans="1:14" ht="14.25" customHeight="1">
      <c r="A421" s="29">
        <f t="shared" si="20"/>
        <v>1.31</v>
      </c>
      <c r="B421" s="201">
        <v>1.31</v>
      </c>
      <c r="C421" s="202" t="s">
        <v>580</v>
      </c>
      <c r="D421" s="201" t="s">
        <v>217</v>
      </c>
      <c r="E421" s="201" t="s">
        <v>156</v>
      </c>
      <c r="F421" s="128" t="s">
        <v>581</v>
      </c>
      <c r="G421" s="77" t="s">
        <v>313</v>
      </c>
      <c r="H421" s="77"/>
      <c r="I421" s="77" t="s">
        <v>313</v>
      </c>
      <c r="J421" s="77" t="s">
        <v>313</v>
      </c>
      <c r="K421" s="77"/>
      <c r="L421" s="77"/>
      <c r="M421" s="77"/>
      <c r="N421" s="40"/>
    </row>
    <row r="422" spans="1:14" ht="14.25" customHeight="1">
      <c r="A422" s="29">
        <f t="shared" si="20"/>
        <v>1.31</v>
      </c>
      <c r="B422" s="201">
        <v>1.31</v>
      </c>
      <c r="C422" s="202" t="s">
        <v>665</v>
      </c>
      <c r="D422" s="201" t="s">
        <v>217</v>
      </c>
      <c r="E422" s="201" t="s">
        <v>156</v>
      </c>
      <c r="F422" s="128" t="s">
        <v>299</v>
      </c>
      <c r="G422" s="77" t="s">
        <v>313</v>
      </c>
      <c r="H422" s="77"/>
      <c r="I422" s="77" t="s">
        <v>313</v>
      </c>
      <c r="J422" s="77" t="s">
        <v>313</v>
      </c>
      <c r="K422" s="77"/>
      <c r="L422" s="77"/>
      <c r="M422" s="77"/>
      <c r="N422" s="40"/>
    </row>
    <row r="423" spans="1:14" ht="25.5" customHeight="1">
      <c r="A423" s="29">
        <f t="shared" si="20"/>
        <v>1.31</v>
      </c>
      <c r="B423" s="201">
        <v>1.31</v>
      </c>
      <c r="C423" s="202" t="s">
        <v>580</v>
      </c>
      <c r="D423" s="201" t="s">
        <v>217</v>
      </c>
      <c r="E423" s="201" t="s">
        <v>156</v>
      </c>
      <c r="F423" s="128" t="s">
        <v>582</v>
      </c>
      <c r="G423" s="77" t="s">
        <v>313</v>
      </c>
      <c r="H423" s="77"/>
      <c r="I423" s="77" t="s">
        <v>313</v>
      </c>
      <c r="J423" s="77" t="s">
        <v>313</v>
      </c>
      <c r="K423" s="77"/>
      <c r="L423" s="77"/>
      <c r="M423" s="77"/>
      <c r="N423" s="40"/>
    </row>
    <row r="424" spans="1:14" ht="28.5" customHeight="1">
      <c r="A424" s="29">
        <f t="shared" si="20"/>
        <v>1.31</v>
      </c>
      <c r="B424" s="219">
        <v>1.31</v>
      </c>
      <c r="C424" s="220" t="s">
        <v>596</v>
      </c>
      <c r="D424" s="219" t="s">
        <v>217</v>
      </c>
      <c r="E424" s="219" t="s">
        <v>156</v>
      </c>
      <c r="F424" s="129" t="s">
        <v>595</v>
      </c>
      <c r="G424" s="87" t="s">
        <v>313</v>
      </c>
      <c r="H424" s="87"/>
      <c r="I424" s="87" t="s">
        <v>313</v>
      </c>
      <c r="J424" s="87" t="s">
        <v>313</v>
      </c>
      <c r="K424" s="87"/>
      <c r="L424" s="87"/>
      <c r="M424" s="87"/>
      <c r="N424" s="40"/>
    </row>
    <row r="425" spans="1:17" s="14" customFormat="1" ht="0.75" customHeight="1">
      <c r="A425" s="32"/>
      <c r="B425" s="16"/>
      <c r="C425" s="143" t="s">
        <v>321</v>
      </c>
      <c r="D425" s="143"/>
      <c r="E425" s="17"/>
      <c r="F425" s="130"/>
      <c r="G425" s="18"/>
      <c r="H425" s="18"/>
      <c r="I425" s="18"/>
      <c r="J425" s="19"/>
      <c r="K425" s="18"/>
      <c r="L425" s="18"/>
      <c r="M425" s="22"/>
      <c r="N425" s="23"/>
      <c r="O425" s="1"/>
      <c r="P425" s="1"/>
      <c r="Q425" s="2"/>
    </row>
  </sheetData>
  <sheetProtection autoFilter="0"/>
  <autoFilter ref="B7:M425"/>
  <mergeCells count="3">
    <mergeCell ref="B1:M2"/>
    <mergeCell ref="B4:F5"/>
    <mergeCell ref="G4:M5"/>
  </mergeCells>
  <printOptions/>
  <pageMargins left="0.1968503937007874" right="0.1968503937007874" top="0.1968503937007874" bottom="0.5905511811023623" header="0" footer="0.3937007874015748"/>
  <pageSetup fitToHeight="1" fitToWidth="1" horizontalDpi="600" verticalDpi="600" orientation="portrait" paperSize="9" scale="10" r:id="rId1"/>
  <headerFooter alignWithMargins="0">
    <oddFooter>&amp;CМосква и Московская область, 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128"/>
  <sheetViews>
    <sheetView zoomScale="75" zoomScaleNormal="75" zoomScalePageLayoutView="0" workbookViewId="0" topLeftCell="A1">
      <pane ySplit="1" topLeftCell="A4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2.7109375" style="48" customWidth="1"/>
    <col min="2" max="3" width="9.140625" style="48" customWidth="1"/>
    <col min="4" max="4" width="18.8515625" style="49" bestFit="1" customWidth="1"/>
    <col min="5" max="5" width="13.00390625" style="48" customWidth="1"/>
    <col min="6" max="6" width="16.421875" style="47" customWidth="1"/>
    <col min="7" max="7" width="9.140625" style="48" customWidth="1"/>
    <col min="8" max="8" width="20.57421875" style="49" bestFit="1" customWidth="1"/>
    <col min="9" max="10" width="15.421875" style="48" customWidth="1"/>
    <col min="11" max="12" width="9.140625" style="48" customWidth="1"/>
    <col min="13" max="13" width="17.28125" style="49" bestFit="1" customWidth="1"/>
    <col min="14" max="14" width="14.8515625" style="48" customWidth="1"/>
    <col min="15" max="16" width="9.140625" style="48" customWidth="1"/>
    <col min="17" max="17" width="17.28125" style="49" bestFit="1" customWidth="1"/>
    <col min="18" max="18" width="14.8515625" style="48" customWidth="1"/>
    <col min="19" max="16384" width="9.140625" style="48" customWidth="1"/>
  </cols>
  <sheetData>
    <row r="2" spans="3:14" ht="21.75">
      <c r="C2" s="252" t="s">
        <v>65</v>
      </c>
      <c r="D2" s="252"/>
      <c r="E2" s="252"/>
      <c r="G2" s="252" t="s">
        <v>66</v>
      </c>
      <c r="H2" s="252"/>
      <c r="I2" s="252"/>
      <c r="J2" s="46"/>
      <c r="L2" s="252" t="s">
        <v>67</v>
      </c>
      <c r="M2" s="252"/>
      <c r="N2" s="252"/>
    </row>
    <row r="3" spans="3:14" ht="21.75">
      <c r="C3" s="252"/>
      <c r="D3" s="252"/>
      <c r="E3" s="252"/>
      <c r="G3" s="252"/>
      <c r="H3" s="252"/>
      <c r="I3" s="252"/>
      <c r="J3" s="46"/>
      <c r="L3" s="252"/>
      <c r="M3" s="252"/>
      <c r="N3" s="252"/>
    </row>
    <row r="4" spans="4:14" ht="18">
      <c r="D4" s="50" t="s">
        <v>333</v>
      </c>
      <c r="E4" s="50">
        <f>COUNTIF('Москва и М.О.'!B8:B425,"&gt;0")</f>
        <v>380</v>
      </c>
      <c r="F4" s="51"/>
      <c r="H4" s="50" t="s">
        <v>333</v>
      </c>
      <c r="I4" s="50" t="e">
        <f>COUNTIF(#REF!,"&gt;0")</f>
        <v>#REF!</v>
      </c>
      <c r="J4" s="50"/>
      <c r="M4" s="50" t="s">
        <v>333</v>
      </c>
      <c r="N4" s="50" t="e">
        <f>COUNTIF(#REF!,"&gt;0")</f>
        <v>#REF!</v>
      </c>
    </row>
    <row r="5" spans="8:14" ht="12.75" customHeight="1">
      <c r="H5" s="52"/>
      <c r="I5" s="50"/>
      <c r="J5" s="50"/>
      <c r="M5" s="52"/>
      <c r="N5" s="50"/>
    </row>
    <row r="6" spans="3:14" s="53" customFormat="1" ht="17.25" customHeight="1">
      <c r="C6" s="53" t="s">
        <v>68</v>
      </c>
      <c r="D6" s="53" t="s">
        <v>242</v>
      </c>
      <c r="E6" s="53" t="s">
        <v>69</v>
      </c>
      <c r="F6" s="54"/>
      <c r="G6" s="53" t="s">
        <v>68</v>
      </c>
      <c r="H6" s="53" t="s">
        <v>242</v>
      </c>
      <c r="I6" s="53" t="s">
        <v>69</v>
      </c>
      <c r="L6" s="53" t="s">
        <v>68</v>
      </c>
      <c r="M6" s="53" t="s">
        <v>334</v>
      </c>
      <c r="N6" s="53" t="s">
        <v>69</v>
      </c>
    </row>
    <row r="7" spans="3:14" ht="12.75">
      <c r="C7" s="48">
        <v>1</v>
      </c>
      <c r="D7" s="49" t="s">
        <v>195</v>
      </c>
      <c r="E7" s="48">
        <f>COUNTIF('Москва и М.О.'!B8:B226,"&gt;0")</f>
        <v>198</v>
      </c>
      <c r="G7" s="48">
        <v>1</v>
      </c>
      <c r="H7" s="49" t="s">
        <v>243</v>
      </c>
      <c r="I7" s="48" t="e">
        <f>COUNTIF(#REF!,"&gt;0")</f>
        <v>#REF!</v>
      </c>
      <c r="L7" s="48">
        <v>1</v>
      </c>
      <c r="M7" s="49" t="s">
        <v>335</v>
      </c>
      <c r="N7" s="48" t="e">
        <f>COUNTIF(#REF!,"&gt;0")</f>
        <v>#REF!</v>
      </c>
    </row>
    <row r="8" spans="3:14" ht="12.75">
      <c r="C8" s="48">
        <v>3</v>
      </c>
      <c r="D8" s="49" t="s">
        <v>310</v>
      </c>
      <c r="E8" s="48">
        <f>COUNTIF('Москва и М.О.'!B9:B29,"&gt;0")</f>
        <v>19</v>
      </c>
      <c r="G8" s="48">
        <v>2</v>
      </c>
      <c r="H8" s="49" t="s">
        <v>249</v>
      </c>
      <c r="I8" s="48" t="e">
        <f>COUNTIF(#REF!,"&gt;0")</f>
        <v>#REF!</v>
      </c>
      <c r="L8" s="48">
        <v>2</v>
      </c>
      <c r="M8" s="49" t="s">
        <v>281</v>
      </c>
      <c r="N8" s="48" t="e">
        <f>COUNTIF(#REF!,"&gt;0")</f>
        <v>#REF!</v>
      </c>
    </row>
    <row r="9" spans="3:12" ht="12.75">
      <c r="C9" s="48">
        <v>4</v>
      </c>
      <c r="D9" s="47" t="s">
        <v>322</v>
      </c>
      <c r="E9" s="48">
        <f>COUNTIF('Москва и М.О.'!B30:B60,"&gt;0")</f>
        <v>29</v>
      </c>
      <c r="G9" s="48">
        <v>3</v>
      </c>
      <c r="H9" s="49" t="s">
        <v>250</v>
      </c>
      <c r="I9" s="48" t="e">
        <f>COUNTIF(#REF!,"&gt;0")</f>
        <v>#REF!</v>
      </c>
      <c r="L9" s="48">
        <v>3</v>
      </c>
    </row>
    <row r="10" spans="3:12" ht="12.75">
      <c r="C10" s="48">
        <v>5</v>
      </c>
      <c r="D10" s="47" t="s">
        <v>403</v>
      </c>
      <c r="E10" s="48">
        <f>COUNTIF('Москва и М.О.'!B61:B86,"&gt;0")</f>
        <v>24</v>
      </c>
      <c r="G10" s="48">
        <v>4</v>
      </c>
      <c r="H10" s="49" t="s">
        <v>234</v>
      </c>
      <c r="I10" s="48" t="e">
        <f>COUNTIF(#REF!,"&gt;0")</f>
        <v>#REF!</v>
      </c>
      <c r="L10" s="48">
        <v>4</v>
      </c>
    </row>
    <row r="11" spans="3:12" ht="12.75">
      <c r="C11" s="48">
        <v>6</v>
      </c>
      <c r="D11" s="47" t="s">
        <v>111</v>
      </c>
      <c r="E11" s="48">
        <f>COUNTIF('Москва и М.О.'!B87:B124,"&gt;0")</f>
        <v>36</v>
      </c>
      <c r="G11" s="48">
        <v>5</v>
      </c>
      <c r="H11" s="49" t="s">
        <v>345</v>
      </c>
      <c r="I11" s="48" t="e">
        <f>COUNTIF(#REF!,"&gt;0")</f>
        <v>#REF!</v>
      </c>
      <c r="L11" s="48">
        <v>5</v>
      </c>
    </row>
    <row r="12" spans="3:12" ht="12.75">
      <c r="C12" s="48">
        <v>7</v>
      </c>
      <c r="D12" s="47" t="s">
        <v>172</v>
      </c>
      <c r="E12" s="48">
        <f>COUNTIF('Москва и М.О.'!B125:B134,"&gt;0")</f>
        <v>8</v>
      </c>
      <c r="G12" s="48">
        <v>6</v>
      </c>
      <c r="H12" s="49" t="s">
        <v>75</v>
      </c>
      <c r="I12" s="48" t="e">
        <f>COUNTIF(#REF!,"&gt;0")</f>
        <v>#REF!</v>
      </c>
      <c r="L12" s="48">
        <v>6</v>
      </c>
    </row>
    <row r="13" spans="3:12" ht="12.75">
      <c r="C13" s="48">
        <v>8</v>
      </c>
      <c r="D13" s="47" t="s">
        <v>46</v>
      </c>
      <c r="E13" s="48">
        <f>COUNTIF('Москва и М.О.'!B135:B156,"&gt;0")</f>
        <v>20</v>
      </c>
      <c r="G13" s="48">
        <v>7</v>
      </c>
      <c r="H13" s="49" t="s">
        <v>189</v>
      </c>
      <c r="I13" s="48" t="e">
        <f>COUNTIF(#REF!,"&gt;0")</f>
        <v>#REF!</v>
      </c>
      <c r="L13" s="48">
        <v>7</v>
      </c>
    </row>
    <row r="14" spans="3:12" ht="12.75">
      <c r="C14" s="48">
        <v>9</v>
      </c>
      <c r="D14" s="47" t="s">
        <v>122</v>
      </c>
      <c r="E14" s="48">
        <f>COUNTIF('Москва и М.О.'!B157:B177,"&gt;0")</f>
        <v>19</v>
      </c>
      <c r="G14" s="48">
        <v>8</v>
      </c>
      <c r="H14" s="49" t="s">
        <v>223</v>
      </c>
      <c r="I14" s="48" t="e">
        <f>COUNTIF(#REF!,"&gt;0")</f>
        <v>#REF!</v>
      </c>
      <c r="J14" s="55"/>
      <c r="L14" s="48">
        <v>8</v>
      </c>
    </row>
    <row r="15" spans="3:12" ht="12.75" customHeight="1">
      <c r="C15" s="48">
        <v>10</v>
      </c>
      <c r="D15" s="47" t="s">
        <v>174</v>
      </c>
      <c r="E15" s="48">
        <f>COUNTIF('Москва и М.О.'!B178:B195,"&gt;0")</f>
        <v>16</v>
      </c>
      <c r="G15" s="48">
        <v>9</v>
      </c>
      <c r="H15" s="44" t="s">
        <v>151</v>
      </c>
      <c r="I15" s="48" t="e">
        <f>COUNTIF(#REF!,"&gt;0")</f>
        <v>#REF!</v>
      </c>
      <c r="J15" s="56"/>
      <c r="L15" s="48">
        <v>9</v>
      </c>
    </row>
    <row r="16" spans="3:9" ht="13.5" customHeight="1">
      <c r="C16" s="48">
        <v>11</v>
      </c>
      <c r="D16" s="47" t="s">
        <v>262</v>
      </c>
      <c r="E16" s="48">
        <f>COUNTIF('Москва и М.О.'!B196:B219,"&gt;0")</f>
        <v>22</v>
      </c>
      <c r="G16" s="48">
        <v>10</v>
      </c>
      <c r="H16" s="44" t="s">
        <v>152</v>
      </c>
      <c r="I16" s="48" t="e">
        <f>COUNTIF(#REF!,"&gt;0")</f>
        <v>#REF!</v>
      </c>
    </row>
    <row r="17" spans="3:14" ht="12.75">
      <c r="C17" s="48">
        <v>12</v>
      </c>
      <c r="D17" s="47" t="s">
        <v>391</v>
      </c>
      <c r="E17" s="48">
        <f>COUNTIF('Москва и М.О.'!B220:B226,"&gt;0")</f>
        <v>5</v>
      </c>
      <c r="G17" s="48">
        <v>11</v>
      </c>
      <c r="H17" s="44" t="s">
        <v>326</v>
      </c>
      <c r="I17" s="48" t="e">
        <f>COUNTIF(#REF!,"&gt;0")</f>
        <v>#REF!</v>
      </c>
      <c r="L17" s="250" t="e">
        <f>IF(N17=N4,"Ок","Ошибка")</f>
        <v>#REF!</v>
      </c>
      <c r="M17" s="251" t="s">
        <v>70</v>
      </c>
      <c r="N17" s="250" t="e">
        <f>SUM(N7:N8)</f>
        <v>#REF!</v>
      </c>
    </row>
    <row r="18" spans="4:14" ht="12.75">
      <c r="D18" s="47"/>
      <c r="G18" s="48">
        <v>12</v>
      </c>
      <c r="H18" s="58" t="s">
        <v>191</v>
      </c>
      <c r="I18" s="48" t="e">
        <f>COUNTIF(#REF!,"&gt;0")</f>
        <v>#REF!</v>
      </c>
      <c r="L18" s="250"/>
      <c r="M18" s="251"/>
      <c r="N18" s="250"/>
    </row>
    <row r="19" spans="3:14" ht="12.75">
      <c r="C19" s="48">
        <v>1</v>
      </c>
      <c r="D19" s="49" t="s">
        <v>213</v>
      </c>
      <c r="E19" s="48">
        <f>COUNTIF('Москва и М.О.'!B227:B425,"&gt;0")</f>
        <v>182</v>
      </c>
      <c r="G19" s="48">
        <v>13</v>
      </c>
      <c r="H19" s="58" t="s">
        <v>231</v>
      </c>
      <c r="I19" s="48" t="e">
        <f>COUNTIF(#REF!,"&gt;0")</f>
        <v>#REF!</v>
      </c>
      <c r="L19" s="250" t="e">
        <f>IF(N19=N4,"Ок","Ошибка")</f>
        <v>#REF!</v>
      </c>
      <c r="M19" s="251"/>
      <c r="N19" s="250" t="e">
        <f>SUM(M23:M24)</f>
        <v>#REF!</v>
      </c>
    </row>
    <row r="20" spans="3:14" ht="12.75" customHeight="1">
      <c r="C20" s="48">
        <v>2</v>
      </c>
      <c r="D20" s="47" t="s">
        <v>71</v>
      </c>
      <c r="E20" s="48">
        <f>COUNTIF('Москва и М.О.'!B228:B287,"&gt;0")</f>
        <v>58</v>
      </c>
      <c r="G20" s="48">
        <v>14</v>
      </c>
      <c r="H20" s="44" t="s">
        <v>153</v>
      </c>
      <c r="I20" s="48" t="e">
        <f>COUNTIF(#REF!,"&gt;0")</f>
        <v>#REF!</v>
      </c>
      <c r="L20" s="250"/>
      <c r="M20" s="251"/>
      <c r="N20" s="250"/>
    </row>
    <row r="21" spans="3:9" ht="13.5" customHeight="1">
      <c r="C21" s="48">
        <v>3</v>
      </c>
      <c r="D21" s="47" t="s">
        <v>72</v>
      </c>
      <c r="E21" s="48">
        <f>COUNTIF('Москва и М.О.'!B288:B306,"&gt;0")</f>
        <v>17</v>
      </c>
      <c r="G21" s="48">
        <v>15</v>
      </c>
      <c r="H21" s="58" t="s">
        <v>154</v>
      </c>
      <c r="I21" s="48" t="e">
        <f>COUNTIF(#REF!,"&gt;0")</f>
        <v>#REF!</v>
      </c>
    </row>
    <row r="22" spans="3:14" ht="12.75">
      <c r="C22" s="48">
        <v>4</v>
      </c>
      <c r="D22" s="47" t="s">
        <v>0</v>
      </c>
      <c r="E22" s="48">
        <f>COUNTIF('Москва и М.О.'!B307:B320,"&gt;0")</f>
        <v>12</v>
      </c>
      <c r="G22" s="48">
        <v>16</v>
      </c>
      <c r="H22" s="44" t="s">
        <v>36</v>
      </c>
      <c r="I22" s="48" t="e">
        <f>COUNTIF(#REF!,"&gt;0")</f>
        <v>#REF!</v>
      </c>
      <c r="L22" s="48" t="s">
        <v>1</v>
      </c>
      <c r="M22" s="48" t="s">
        <v>69</v>
      </c>
      <c r="N22" s="48" t="s">
        <v>2</v>
      </c>
    </row>
    <row r="23" spans="3:15" ht="12.75">
      <c r="C23" s="48">
        <v>5</v>
      </c>
      <c r="D23" s="47" t="s">
        <v>3</v>
      </c>
      <c r="E23" s="48">
        <f>COUNTIF('Москва и М.О.'!B321:B342,"&gt;0")</f>
        <v>20</v>
      </c>
      <c r="G23" s="48">
        <v>17</v>
      </c>
      <c r="H23" s="44" t="s">
        <v>330</v>
      </c>
      <c r="I23" s="48" t="e">
        <f>COUNTIF(#REF!,"&gt;0")</f>
        <v>#REF!</v>
      </c>
      <c r="K23" s="55" t="e">
        <f>COUNTIF(#REF!,"=3,1")</f>
        <v>#REF!</v>
      </c>
      <c r="L23" s="45" t="e">
        <f>#REF!</f>
        <v>#REF!</v>
      </c>
      <c r="M23" s="55" t="e">
        <f aca="true" t="shared" si="0" ref="M23:M31">IF(K23=0,"-----",K23)</f>
        <v>#REF!</v>
      </c>
      <c r="N23" s="48" t="e">
        <f>#REF!</f>
        <v>#REF!</v>
      </c>
      <c r="O23" s="47" t="s">
        <v>293</v>
      </c>
    </row>
    <row r="24" spans="3:15" ht="12.75">
      <c r="C24" s="48">
        <v>6</v>
      </c>
      <c r="D24" s="47" t="s">
        <v>4</v>
      </c>
      <c r="E24" s="48">
        <f>COUNTIF('Москва и М.О.'!B343:B356,"&gt;0")</f>
        <v>12</v>
      </c>
      <c r="G24" s="48">
        <v>18</v>
      </c>
      <c r="H24" s="58" t="s">
        <v>199</v>
      </c>
      <c r="I24" s="48" t="e">
        <f>COUNTIF(#REF!,"&gt;0")</f>
        <v>#REF!</v>
      </c>
      <c r="K24" s="56" t="e">
        <f>COUNTIF(#REF!,"=3,2")</f>
        <v>#REF!</v>
      </c>
      <c r="L24" s="45" t="e">
        <f>#REF!</f>
        <v>#REF!</v>
      </c>
      <c r="M24" s="55" t="e">
        <f t="shared" si="0"/>
        <v>#REF!</v>
      </c>
      <c r="N24" s="48" t="e">
        <f>#REF!</f>
        <v>#REF!</v>
      </c>
      <c r="O24" s="47" t="s">
        <v>305</v>
      </c>
    </row>
    <row r="25" spans="3:14" ht="12.75">
      <c r="C25" s="48">
        <v>7</v>
      </c>
      <c r="D25" s="47" t="s">
        <v>5</v>
      </c>
      <c r="E25" s="48">
        <f>COUNTIF('Москва и М.О.'!B357:B372,"&gt;0")</f>
        <v>14</v>
      </c>
      <c r="G25" s="48">
        <v>19</v>
      </c>
      <c r="H25" s="44" t="s">
        <v>64</v>
      </c>
      <c r="I25" s="48" t="e">
        <f>COUNTIF(#REF!,"&gt;0")</f>
        <v>#REF!</v>
      </c>
      <c r="K25" s="48" t="e">
        <f>COUNTIF(#REF!,"=3,3")</f>
        <v>#REF!</v>
      </c>
      <c r="L25" s="45" t="e">
        <f>#REF!</f>
        <v>#REF!</v>
      </c>
      <c r="M25" s="55" t="e">
        <f t="shared" si="0"/>
        <v>#REF!</v>
      </c>
      <c r="N25" s="48" t="e">
        <f>#REF!</f>
        <v>#REF!</v>
      </c>
    </row>
    <row r="26" spans="3:14" ht="12.75">
      <c r="C26" s="48">
        <v>8</v>
      </c>
      <c r="D26" s="47" t="s">
        <v>6</v>
      </c>
      <c r="E26" s="48">
        <f>COUNTIF('Москва и М.О.'!B373:B401,"&gt;0")</f>
        <v>27</v>
      </c>
      <c r="G26" s="48">
        <v>20</v>
      </c>
      <c r="H26" s="44" t="s">
        <v>235</v>
      </c>
      <c r="I26" s="48" t="e">
        <f>COUNTIF(#REF!,"&gt;0")</f>
        <v>#REF!</v>
      </c>
      <c r="K26" s="48" t="e">
        <f>COUNTIF(#REF!,"=3,4")</f>
        <v>#REF!</v>
      </c>
      <c r="L26" s="45" t="e">
        <f>#REF!</f>
        <v>#REF!</v>
      </c>
      <c r="M26" s="55" t="e">
        <f t="shared" si="0"/>
        <v>#REF!</v>
      </c>
      <c r="N26" s="48" t="e">
        <f>#REF!</f>
        <v>#REF!</v>
      </c>
    </row>
    <row r="27" spans="3:14" ht="12.75">
      <c r="C27" s="48">
        <v>9</v>
      </c>
      <c r="D27" s="47" t="s">
        <v>7</v>
      </c>
      <c r="E27" s="48">
        <f>COUNTIF('Москва и М.О.'!B402:B425,"&gt;0")</f>
        <v>22</v>
      </c>
      <c r="G27" s="48">
        <v>21</v>
      </c>
      <c r="H27" s="44" t="s">
        <v>318</v>
      </c>
      <c r="I27" s="48" t="e">
        <f>COUNTIF(#REF!,"&gt;0")</f>
        <v>#REF!</v>
      </c>
      <c r="K27" s="48" t="e">
        <f>COUNTIF(#REF!,"=3,5")</f>
        <v>#REF!</v>
      </c>
      <c r="L27" s="45" t="e">
        <f>#REF!</f>
        <v>#REF!</v>
      </c>
      <c r="M27" s="55" t="e">
        <f t="shared" si="0"/>
        <v>#REF!</v>
      </c>
      <c r="N27" s="48" t="e">
        <f>#REF!</f>
        <v>#REF!</v>
      </c>
    </row>
    <row r="28" spans="4:14" ht="12.75">
      <c r="D28" s="47"/>
      <c r="G28" s="48">
        <v>22</v>
      </c>
      <c r="H28" s="44" t="s">
        <v>414</v>
      </c>
      <c r="I28" s="48" t="e">
        <f>COUNTIF(#REF!,"&gt;0")</f>
        <v>#REF!</v>
      </c>
      <c r="K28" s="48" t="e">
        <f>COUNTIF(#REF!,"=3,6")</f>
        <v>#REF!</v>
      </c>
      <c r="L28" s="45" t="e">
        <f>#REF!</f>
        <v>#REF!</v>
      </c>
      <c r="M28" s="55" t="e">
        <f t="shared" si="0"/>
        <v>#REF!</v>
      </c>
      <c r="N28" s="48" t="e">
        <f>#REF!</f>
        <v>#REF!</v>
      </c>
    </row>
    <row r="29" spans="3:14" ht="12.75">
      <c r="C29" s="250" t="str">
        <f>IF(E29=E4,"Ок","Ошибка")</f>
        <v>Ок</v>
      </c>
      <c r="D29" s="251" t="s">
        <v>70</v>
      </c>
      <c r="E29" s="250">
        <f>SUM(E8:E17,E20:E27)</f>
        <v>380</v>
      </c>
      <c r="G29" s="48">
        <v>23</v>
      </c>
      <c r="H29" s="58" t="s">
        <v>8</v>
      </c>
      <c r="I29" s="48" t="e">
        <f>COUNTIF(#REF!,"&gt;0")</f>
        <v>#REF!</v>
      </c>
      <c r="K29" s="48" t="e">
        <f>COUNTIF(#REF!,"=3,7")</f>
        <v>#REF!</v>
      </c>
      <c r="L29" s="45" t="e">
        <f>#REF!</f>
        <v>#REF!</v>
      </c>
      <c r="M29" s="55" t="e">
        <f t="shared" si="0"/>
        <v>#REF!</v>
      </c>
      <c r="N29" s="48" t="e">
        <f>#REF!</f>
        <v>#REF!</v>
      </c>
    </row>
    <row r="30" spans="3:14" ht="12.75">
      <c r="C30" s="250"/>
      <c r="D30" s="251"/>
      <c r="E30" s="250"/>
      <c r="G30" s="48">
        <v>24</v>
      </c>
      <c r="H30" s="58" t="s">
        <v>194</v>
      </c>
      <c r="I30" s="48" t="e">
        <f>COUNTIF(#REF!,"&gt;0")</f>
        <v>#REF!</v>
      </c>
      <c r="K30" s="48" t="e">
        <f>COUNTIF(#REF!,"=3,8")</f>
        <v>#REF!</v>
      </c>
      <c r="L30" s="45" t="e">
        <f>#REF!</f>
        <v>#REF!</v>
      </c>
      <c r="M30" s="55" t="e">
        <f t="shared" si="0"/>
        <v>#REF!</v>
      </c>
      <c r="N30" s="48" t="e">
        <f>#REF!</f>
        <v>#REF!</v>
      </c>
    </row>
    <row r="31" spans="3:14" ht="12.75">
      <c r="C31" s="250" t="str">
        <f>IF(E31=E4,"Ок","Ошибка")</f>
        <v>Ошибка</v>
      </c>
      <c r="D31" s="251"/>
      <c r="E31" s="250">
        <f>SUM(D35:D61)-D48</f>
        <v>264</v>
      </c>
      <c r="G31" s="48">
        <v>25</v>
      </c>
      <c r="H31" s="44" t="s">
        <v>332</v>
      </c>
      <c r="I31" s="48" t="e">
        <f>COUNTIF(#REF!,"&gt;0")</f>
        <v>#REF!</v>
      </c>
      <c r="K31" s="48" t="e">
        <f>COUNTIF(#REF!,"=3,9")</f>
        <v>#REF!</v>
      </c>
      <c r="L31" s="45" t="e">
        <f>#REF!</f>
        <v>#REF!</v>
      </c>
      <c r="M31" s="55" t="e">
        <f t="shared" si="0"/>
        <v>#REF!</v>
      </c>
      <c r="N31" s="48" t="e">
        <f>#REF!</f>
        <v>#REF!</v>
      </c>
    </row>
    <row r="32" spans="3:9" ht="12.75">
      <c r="C32" s="250"/>
      <c r="D32" s="251"/>
      <c r="E32" s="250"/>
      <c r="G32" s="48">
        <v>26</v>
      </c>
      <c r="H32" s="44" t="s">
        <v>225</v>
      </c>
      <c r="I32" s="48" t="e">
        <f>COUNTIF(#REF!,"&gt;0")</f>
        <v>#REF!</v>
      </c>
    </row>
    <row r="33" spans="4:9" ht="12.75">
      <c r="D33" s="47"/>
      <c r="G33" s="48">
        <v>27</v>
      </c>
      <c r="H33" s="58" t="s">
        <v>143</v>
      </c>
      <c r="I33" s="48" t="e">
        <f>COUNTIF(#REF!,"&gt;0")</f>
        <v>#REF!</v>
      </c>
    </row>
    <row r="34" spans="3:14" ht="12.75">
      <c r="C34" s="48" t="s">
        <v>1</v>
      </c>
      <c r="D34" s="48" t="s">
        <v>69</v>
      </c>
      <c r="E34" s="48" t="s">
        <v>2</v>
      </c>
      <c r="G34" s="48">
        <v>28</v>
      </c>
      <c r="H34" s="44" t="s">
        <v>193</v>
      </c>
      <c r="I34" s="48" t="e">
        <f>COUNTIF(#REF!,"&gt;0")</f>
        <v>#REF!</v>
      </c>
      <c r="L34" s="252" t="s">
        <v>63</v>
      </c>
      <c r="M34" s="252"/>
      <c r="N34" s="252"/>
    </row>
    <row r="35" spans="2:14" ht="12.75">
      <c r="B35" s="48">
        <f>COUNTIF('Москва и М.О.'!B8:B425,"=1,1")</f>
        <v>0</v>
      </c>
      <c r="C35" s="45">
        <f>'Москва и М.О.'!O8</f>
        <v>0</v>
      </c>
      <c r="D35" s="48" t="str">
        <f aca="true" t="shared" si="1" ref="D35:D44">IF(B35=0,"-----",B35)</f>
        <v>-----</v>
      </c>
      <c r="E35" s="49">
        <f>'Москва и М.О.'!Q8</f>
        <v>0</v>
      </c>
      <c r="G35" s="48">
        <v>29</v>
      </c>
      <c r="H35" s="44" t="s">
        <v>56</v>
      </c>
      <c r="I35" s="48" t="e">
        <f>COUNTIF(#REF!,"&gt;0")</f>
        <v>#REF!</v>
      </c>
      <c r="L35" s="252"/>
      <c r="M35" s="252"/>
      <c r="N35" s="252"/>
    </row>
    <row r="36" spans="2:14" ht="18">
      <c r="B36" s="48">
        <f>COUNTIF('Москва и М.О.'!B8:B425,"=1,2")</f>
        <v>0</v>
      </c>
      <c r="C36" s="45">
        <f>'Москва и М.О.'!O9</f>
        <v>0</v>
      </c>
      <c r="D36" s="48" t="str">
        <f t="shared" si="1"/>
        <v>-----</v>
      </c>
      <c r="E36" s="49">
        <f>'Москва и М.О.'!Q9</f>
        <v>0</v>
      </c>
      <c r="F36" s="47" t="s">
        <v>76</v>
      </c>
      <c r="G36" s="48">
        <v>30</v>
      </c>
      <c r="H36" s="44" t="s">
        <v>200</v>
      </c>
      <c r="I36" s="48" t="e">
        <f>COUNTIF(#REF!,"&gt;0")</f>
        <v>#REF!</v>
      </c>
      <c r="M36" s="50" t="s">
        <v>9</v>
      </c>
      <c r="N36" s="50" t="e">
        <f>COUNTIF(#REF!,"&gt;0")</f>
        <v>#REF!</v>
      </c>
    </row>
    <row r="37" spans="1:14" ht="13.5" customHeight="1">
      <c r="A37" s="45"/>
      <c r="B37" s="45">
        <f>COUNTIF('Москва и М.О.'!B8:B425,"=1,3")</f>
        <v>0</v>
      </c>
      <c r="C37" s="45" t="e">
        <f>'Москва и М.О.'!#REF!</f>
        <v>#REF!</v>
      </c>
      <c r="D37" s="48" t="str">
        <f t="shared" si="1"/>
        <v>-----</v>
      </c>
      <c r="E37" s="49" t="e">
        <f>'Москва и М.О.'!#REF!</f>
        <v>#REF!</v>
      </c>
      <c r="F37" s="47" t="s">
        <v>293</v>
      </c>
      <c r="G37" s="48">
        <v>31</v>
      </c>
      <c r="H37" s="44" t="s">
        <v>212</v>
      </c>
      <c r="I37" s="48" t="e">
        <f>COUNTIF(#REF!,"&gt;0")</f>
        <v>#REF!</v>
      </c>
      <c r="M37" s="52"/>
      <c r="N37" s="50"/>
    </row>
    <row r="38" spans="1:14" ht="15">
      <c r="A38" s="45"/>
      <c r="B38" s="45">
        <f>COUNTIF('Москва и М.О.'!B8:B425,"=1,5")</f>
        <v>0</v>
      </c>
      <c r="C38" s="45" t="e">
        <f>'Москва и М.О.'!#REF!</f>
        <v>#REF!</v>
      </c>
      <c r="D38" s="48" t="str">
        <f t="shared" si="1"/>
        <v>-----</v>
      </c>
      <c r="E38" s="49" t="e">
        <f>'Москва и М.О.'!#REF!</f>
        <v>#REF!</v>
      </c>
      <c r="G38" s="48">
        <v>32</v>
      </c>
      <c r="H38" s="58" t="s">
        <v>395</v>
      </c>
      <c r="I38" s="48" t="e">
        <f>COUNTIF(#REF!,"&gt;0")</f>
        <v>#REF!</v>
      </c>
      <c r="L38" s="53" t="s">
        <v>68</v>
      </c>
      <c r="M38" s="53" t="s">
        <v>334</v>
      </c>
      <c r="N38" s="53" t="s">
        <v>69</v>
      </c>
    </row>
    <row r="39" spans="1:14" ht="12.75">
      <c r="A39" s="45"/>
      <c r="B39" s="45">
        <f>COUNTIF('Москва и М.О.'!B8:B425,"=1,6")</f>
        <v>1</v>
      </c>
      <c r="C39" s="45">
        <f>'Москва и М.О.'!O10</f>
        <v>0</v>
      </c>
      <c r="D39" s="48">
        <f t="shared" si="1"/>
        <v>1</v>
      </c>
      <c r="E39" s="49">
        <f>'Москва и М.О.'!Q10</f>
        <v>0</v>
      </c>
      <c r="F39" s="49" t="s">
        <v>305</v>
      </c>
      <c r="G39" s="48">
        <v>33</v>
      </c>
      <c r="H39" s="44" t="s">
        <v>273</v>
      </c>
      <c r="I39" s="48" t="e">
        <f>COUNTIF(#REF!,"&gt;0")</f>
        <v>#REF!</v>
      </c>
      <c r="L39" s="48">
        <v>1</v>
      </c>
      <c r="M39" s="49" t="s">
        <v>195</v>
      </c>
      <c r="N39" s="48" t="e">
        <f>COUNTIF(#REF!,"&gt;0")</f>
        <v>#REF!</v>
      </c>
    </row>
    <row r="40" spans="1:14" ht="12.75">
      <c r="A40" s="45"/>
      <c r="B40" s="45">
        <f>COUNTIF('Москва и М.О.'!B8:B425,"=1,7")</f>
        <v>189</v>
      </c>
      <c r="C40" s="45">
        <f>'Москва и М.О.'!O11</f>
        <v>0</v>
      </c>
      <c r="D40" s="48">
        <f t="shared" si="1"/>
        <v>189</v>
      </c>
      <c r="E40" s="49">
        <f>'Москва и М.О.'!Q11</f>
        <v>0</v>
      </c>
      <c r="G40" s="48">
        <v>34</v>
      </c>
      <c r="H40" s="58" t="s">
        <v>209</v>
      </c>
      <c r="I40" s="48" t="e">
        <f>COUNTIF(#REF!,"&gt;0")</f>
        <v>#REF!</v>
      </c>
      <c r="L40" s="48">
        <v>2</v>
      </c>
      <c r="M40" s="49" t="s">
        <v>317</v>
      </c>
      <c r="N40" s="48" t="e">
        <f>COUNTIF(#REF!,"&gt;0")</f>
        <v>#REF!</v>
      </c>
    </row>
    <row r="41" spans="1:14" ht="12.75">
      <c r="A41" s="45"/>
      <c r="B41" s="45">
        <f>COUNTIF('Москва и М.О.'!B8:B425,"=1,8")</f>
        <v>5</v>
      </c>
      <c r="C41" s="45">
        <f>'Москва и М.О.'!O12</f>
        <v>0</v>
      </c>
      <c r="D41" s="48">
        <f t="shared" si="1"/>
        <v>5</v>
      </c>
      <c r="E41" s="49">
        <f>'Москва и М.О.'!Q12</f>
        <v>0</v>
      </c>
      <c r="G41" s="48">
        <v>35</v>
      </c>
      <c r="H41" s="58" t="s">
        <v>379</v>
      </c>
      <c r="I41" s="48" t="e">
        <f>COUNTIF(#REF!,"&gt;0")</f>
        <v>#REF!</v>
      </c>
      <c r="L41" s="48">
        <v>3</v>
      </c>
      <c r="M41" s="44" t="s">
        <v>231</v>
      </c>
      <c r="N41" s="48" t="e">
        <f>COUNTIF(#REF!,"&gt;0")</f>
        <v>#REF!</v>
      </c>
    </row>
    <row r="42" spans="1:14" ht="12.75">
      <c r="A42" s="45"/>
      <c r="B42" s="45">
        <f>COUNTIF('Москва и М.О.'!B8:B425,"=1,9")</f>
        <v>0</v>
      </c>
      <c r="C42" s="45" t="e">
        <f>'Москва и М.О.'!#REF!</f>
        <v>#REF!</v>
      </c>
      <c r="D42" s="48" t="str">
        <f t="shared" si="1"/>
        <v>-----</v>
      </c>
      <c r="E42" s="49" t="e">
        <f>'Москва и М.О.'!#REF!</f>
        <v>#REF!</v>
      </c>
      <c r="G42" s="48">
        <v>36</v>
      </c>
      <c r="H42" s="44" t="s">
        <v>415</v>
      </c>
      <c r="I42" s="48" t="e">
        <f>COUNTIF(#REF!,"&gt;0")</f>
        <v>#REF!</v>
      </c>
      <c r="L42" s="48">
        <v>4</v>
      </c>
      <c r="M42" s="44" t="s">
        <v>64</v>
      </c>
      <c r="N42" s="48" t="e">
        <f>COUNTIF(#REF!,"&gt;0")</f>
        <v>#REF!</v>
      </c>
    </row>
    <row r="43" spans="1:14" ht="12.75">
      <c r="A43" s="45"/>
      <c r="B43" s="45">
        <f>COUNTIF('Москва и М.О.'!B8:B425,"=1,11")</f>
        <v>0</v>
      </c>
      <c r="C43" s="45">
        <f>'Москва и М.О.'!O13</f>
        <v>0</v>
      </c>
      <c r="D43" s="48" t="str">
        <f t="shared" si="1"/>
        <v>-----</v>
      </c>
      <c r="E43" s="49">
        <f>'Москва и М.О.'!Q13</f>
        <v>0</v>
      </c>
      <c r="F43" s="47" t="s">
        <v>425</v>
      </c>
      <c r="G43" s="48">
        <v>37</v>
      </c>
      <c r="H43" s="44" t="s">
        <v>346</v>
      </c>
      <c r="I43" s="48" t="e">
        <f>COUNTIF(#REF!,"&gt;0")</f>
        <v>#REF!</v>
      </c>
      <c r="L43" s="48">
        <v>5</v>
      </c>
      <c r="M43" s="44" t="s">
        <v>143</v>
      </c>
      <c r="N43" s="48" t="e">
        <f>COUNTIF(#REF!,"&gt;0")</f>
        <v>#REF!</v>
      </c>
    </row>
    <row r="44" spans="1:14" ht="12.75">
      <c r="A44" s="45"/>
      <c r="B44" s="45">
        <f>COUNTIF('Москва и М.О.'!B8:B425,"=1,12")</f>
        <v>0</v>
      </c>
      <c r="C44" s="45">
        <f>'Москва и М.О.'!O14</f>
        <v>0</v>
      </c>
      <c r="D44" s="48" t="str">
        <f t="shared" si="1"/>
        <v>-----</v>
      </c>
      <c r="E44" s="49">
        <f>'Москва и М.О.'!Q14</f>
        <v>0</v>
      </c>
      <c r="G44" s="48">
        <v>38</v>
      </c>
      <c r="H44" s="58" t="s">
        <v>426</v>
      </c>
      <c r="I44" s="48" t="e">
        <f>COUNTIF(#REF!,"&gt;0")</f>
        <v>#REF!</v>
      </c>
      <c r="L44" s="48">
        <v>6</v>
      </c>
      <c r="M44" s="44" t="s">
        <v>379</v>
      </c>
      <c r="N44" s="48" t="e">
        <f>COUNTIF(#REF!,"&gt;0")</f>
        <v>#REF!</v>
      </c>
    </row>
    <row r="45" spans="1:14" ht="12.75">
      <c r="A45" s="45"/>
      <c r="B45" s="45">
        <f>COUNTIF('Москва и М.О.'!B8:B425,"=1,13")</f>
        <v>0</v>
      </c>
      <c r="C45" s="45">
        <f>'Москва и М.О.'!O15</f>
        <v>0</v>
      </c>
      <c r="D45" s="48" t="str">
        <f aca="true" t="shared" si="2" ref="D45:D72">IF(B45=0,"-----",B45)</f>
        <v>-----</v>
      </c>
      <c r="E45" s="49">
        <f>'Москва и М.О.'!Q15</f>
        <v>0</v>
      </c>
      <c r="G45" s="48">
        <v>39</v>
      </c>
      <c r="H45" s="44" t="s">
        <v>107</v>
      </c>
      <c r="I45" s="48" t="e">
        <f>COUNTIF(#REF!,"&gt;0")</f>
        <v>#REF!</v>
      </c>
      <c r="L45" s="48">
        <v>7</v>
      </c>
      <c r="M45" s="44" t="s">
        <v>108</v>
      </c>
      <c r="N45" s="48" t="e">
        <f>COUNTIF(#REF!,"&gt;0")</f>
        <v>#REF!</v>
      </c>
    </row>
    <row r="46" spans="1:14" ht="12.75" customHeight="1">
      <c r="A46" s="45"/>
      <c r="B46" s="45">
        <f>COUNTIF('Москва и М.О.'!B8:B425,"=1,14")</f>
        <v>0</v>
      </c>
      <c r="C46" s="45" t="e">
        <f>'Москва и М.О.'!#REF!</f>
        <v>#REF!</v>
      </c>
      <c r="D46" s="48" t="str">
        <f t="shared" si="2"/>
        <v>-----</v>
      </c>
      <c r="E46" s="49" t="e">
        <f>'Москва и М.О.'!#REF!</f>
        <v>#REF!</v>
      </c>
      <c r="G46" s="48">
        <v>40</v>
      </c>
      <c r="H46" s="58" t="s">
        <v>108</v>
      </c>
      <c r="I46" s="48" t="e">
        <f>COUNTIF(#REF!,"&gt;0")</f>
        <v>#REF!</v>
      </c>
      <c r="L46" s="48">
        <v>8</v>
      </c>
      <c r="M46" s="44" t="s">
        <v>148</v>
      </c>
      <c r="N46" s="48" t="e">
        <f>COUNTIF(#REF!,"&gt;0")</f>
        <v>#REF!</v>
      </c>
    </row>
    <row r="47" spans="1:14" ht="12.75" customHeight="1">
      <c r="A47" s="45"/>
      <c r="B47" s="45">
        <f>COUNTIF('Москва и М.О.'!B8:B425,"=1,15")</f>
        <v>69</v>
      </c>
      <c r="C47" s="45">
        <f>'Москва и М.О.'!O16</f>
        <v>0</v>
      </c>
      <c r="D47" s="48">
        <f t="shared" si="2"/>
        <v>69</v>
      </c>
      <c r="E47" s="49">
        <f>'Москва и М.О.'!Q16</f>
        <v>0</v>
      </c>
      <c r="G47" s="48">
        <v>41</v>
      </c>
      <c r="H47" s="44" t="s">
        <v>228</v>
      </c>
      <c r="I47" s="48" t="e">
        <f>COUNTIF(#REF!,"&gt;0")</f>
        <v>#REF!</v>
      </c>
      <c r="L47" s="48">
        <v>9</v>
      </c>
      <c r="M47" s="44" t="s">
        <v>413</v>
      </c>
      <c r="N47" s="48" t="e">
        <f>COUNTIF(#REF!,"&gt;0")</f>
        <v>#REF!</v>
      </c>
    </row>
    <row r="48" spans="1:14" ht="12.75" customHeight="1">
      <c r="A48" s="45"/>
      <c r="B48" s="45">
        <f>COUNTIF('Москва и М.О.'!B8:B425,"=1,15")</f>
        <v>69</v>
      </c>
      <c r="C48" s="45">
        <f>'Москва и М.О.'!O17</f>
        <v>0</v>
      </c>
      <c r="D48" s="48">
        <f t="shared" si="2"/>
        <v>69</v>
      </c>
      <c r="E48" s="49">
        <f>'Москва и М.О.'!Q17</f>
        <v>0</v>
      </c>
      <c r="G48" s="48">
        <v>42</v>
      </c>
      <c r="H48" s="44" t="s">
        <v>138</v>
      </c>
      <c r="I48" s="48" t="e">
        <f>COUNTIF(#REF!,"&gt;0")</f>
        <v>#REF!</v>
      </c>
      <c r="L48" s="48">
        <v>10</v>
      </c>
      <c r="M48" s="44" t="s">
        <v>211</v>
      </c>
      <c r="N48" s="48" t="e">
        <f>COUNTIF(#REF!,"&gt;0")</f>
        <v>#REF!</v>
      </c>
    </row>
    <row r="49" spans="1:13" ht="12.75" customHeight="1">
      <c r="A49" s="45"/>
      <c r="B49" s="48">
        <f>COUNTIF('Москва и М.О.'!B8:B425,"=1,16")</f>
        <v>0</v>
      </c>
      <c r="C49" s="45" t="e">
        <f>'Москва и М.О.'!#REF!</f>
        <v>#REF!</v>
      </c>
      <c r="D49" s="48" t="str">
        <f t="shared" si="2"/>
        <v>-----</v>
      </c>
      <c r="E49" s="49" t="e">
        <f>'Москва и М.О.'!#REF!</f>
        <v>#REF!</v>
      </c>
      <c r="G49" s="48">
        <v>43</v>
      </c>
      <c r="H49" s="44" t="s">
        <v>236</v>
      </c>
      <c r="I49" s="48" t="e">
        <f>COUNTIF(#REF!,"&gt;0")</f>
        <v>#REF!</v>
      </c>
      <c r="M49" s="44"/>
    </row>
    <row r="50" spans="2:9" ht="12.75">
      <c r="B50" s="48">
        <f>COUNTIF('Москва и М.О.'!B8:B425,"=1,17")</f>
        <v>0</v>
      </c>
      <c r="C50" s="45" t="e">
        <f>'Москва и М.О.'!#REF!</f>
        <v>#REF!</v>
      </c>
      <c r="D50" s="48" t="str">
        <f t="shared" si="2"/>
        <v>-----</v>
      </c>
      <c r="E50" s="49" t="e">
        <f>'Москва и М.О.'!#REF!</f>
        <v>#REF!</v>
      </c>
      <c r="G50" s="48">
        <v>44</v>
      </c>
      <c r="H50" s="44" t="s">
        <v>423</v>
      </c>
      <c r="I50" s="48" t="e">
        <f>COUNTIF(#REF!,"&gt;0")</f>
        <v>#REF!</v>
      </c>
    </row>
    <row r="51" spans="2:14" ht="12.75">
      <c r="B51" s="48">
        <f>COUNTIF('Москва и М.О.'!B8:B425,"=1,18")</f>
        <v>0</v>
      </c>
      <c r="C51" s="45" t="e">
        <f>'Москва и М.О.'!#REF!</f>
        <v>#REF!</v>
      </c>
      <c r="D51" s="48" t="str">
        <f t="shared" si="2"/>
        <v>-----</v>
      </c>
      <c r="E51" s="49" t="e">
        <f>'Москва и М.О.'!#REF!</f>
        <v>#REF!</v>
      </c>
      <c r="G51" s="48">
        <v>45</v>
      </c>
      <c r="H51" s="58" t="s">
        <v>424</v>
      </c>
      <c r="I51" s="48" t="e">
        <f>COUNTIF(#REF!,"&gt;0")</f>
        <v>#REF!</v>
      </c>
      <c r="L51" s="250" t="e">
        <f>IF(N51=N36,"Ок","Ошибка")</f>
        <v>#REF!</v>
      </c>
      <c r="M51" s="251" t="s">
        <v>70</v>
      </c>
      <c r="N51" s="250" t="e">
        <f>SUM(N39:N47)</f>
        <v>#REF!</v>
      </c>
    </row>
    <row r="52" spans="2:14" ht="12.75">
      <c r="B52" s="48">
        <f>COUNTIF('Москва и М.О.'!B8:B425,"=1,19")</f>
        <v>0</v>
      </c>
      <c r="C52" s="45">
        <f>'Москва и М.О.'!O18</f>
        <v>0</v>
      </c>
      <c r="D52" s="48" t="str">
        <f t="shared" si="2"/>
        <v>-----</v>
      </c>
      <c r="E52" s="49">
        <f>'Москва и М.О.'!Q18</f>
        <v>0</v>
      </c>
      <c r="F52" s="47" t="s">
        <v>204</v>
      </c>
      <c r="G52" s="48">
        <v>46</v>
      </c>
      <c r="H52" s="44" t="s">
        <v>275</v>
      </c>
      <c r="I52" s="48" t="e">
        <f>COUNTIF(#REF!,"&gt;0")</f>
        <v>#REF!</v>
      </c>
      <c r="L52" s="250"/>
      <c r="M52" s="251"/>
      <c r="N52" s="250"/>
    </row>
    <row r="53" spans="2:9" ht="12.75">
      <c r="B53" s="48">
        <f>COUNTIF('Москва и М.О.'!B8:B425,"=1,21")</f>
        <v>0</v>
      </c>
      <c r="C53" s="45">
        <f>'Москва и М.О.'!O19</f>
        <v>0</v>
      </c>
      <c r="D53" s="48" t="str">
        <f t="shared" si="2"/>
        <v>-----</v>
      </c>
      <c r="E53" s="49">
        <f>'Москва и М.О.'!Q19</f>
        <v>0</v>
      </c>
      <c r="F53" s="47" t="s">
        <v>205</v>
      </c>
      <c r="G53" s="48">
        <v>47</v>
      </c>
      <c r="H53" s="44" t="s">
        <v>211</v>
      </c>
      <c r="I53" s="48" t="e">
        <f>COUNTIF(#REF!,"&gt;0")</f>
        <v>#REF!</v>
      </c>
    </row>
    <row r="54" spans="2:14" ht="12.75">
      <c r="B54" s="48">
        <f>COUNTIF('Москва и М.О.'!B8:B425,"=1,22")</f>
        <v>0</v>
      </c>
      <c r="C54" s="45" t="e">
        <f>'Москва и М.О.'!#REF!</f>
        <v>#REF!</v>
      </c>
      <c r="D54" s="48" t="str">
        <f t="shared" si="2"/>
        <v>-----</v>
      </c>
      <c r="E54" s="49" t="e">
        <f>'Москва и М.О.'!#REF!</f>
        <v>#REF!</v>
      </c>
      <c r="F54" s="47" t="s">
        <v>206</v>
      </c>
      <c r="G54" s="48">
        <v>48</v>
      </c>
      <c r="H54" s="44" t="s">
        <v>406</v>
      </c>
      <c r="I54" s="48" t="e">
        <f>COUNTIF(#REF!,"&gt;0")</f>
        <v>#REF!</v>
      </c>
      <c r="L54" s="48" t="s">
        <v>1</v>
      </c>
      <c r="M54" s="48" t="s">
        <v>10</v>
      </c>
      <c r="N54" s="48" t="s">
        <v>11</v>
      </c>
    </row>
    <row r="55" spans="2:14" ht="12.75">
      <c r="B55" s="48">
        <f>COUNTIF('Москва и М.О.'!B8:B425,"=1,23")</f>
        <v>0</v>
      </c>
      <c r="C55" s="45" t="e">
        <f>'Москва и М.О.'!#REF!</f>
        <v>#REF!</v>
      </c>
      <c r="D55" s="48" t="str">
        <f t="shared" si="2"/>
        <v>-----</v>
      </c>
      <c r="E55" s="49" t="e">
        <f>'Москва и М.О.'!#REF!</f>
        <v>#REF!</v>
      </c>
      <c r="F55" s="47" t="s">
        <v>207</v>
      </c>
      <c r="G55" s="48">
        <v>49</v>
      </c>
      <c r="H55" s="44" t="s">
        <v>291</v>
      </c>
      <c r="I55" s="48" t="e">
        <f>COUNTIF(#REF!,"&gt;0")</f>
        <v>#REF!</v>
      </c>
      <c r="K55" s="55" t="e">
        <f>COUNTIF(#REF!,"=5,1")</f>
        <v>#REF!</v>
      </c>
      <c r="L55" s="45" t="e">
        <f>#REF!</f>
        <v>#REF!</v>
      </c>
      <c r="M55" s="55" t="e">
        <f aca="true" t="shared" si="3" ref="M55:M70">IF(K55=0,"-----",K55)</f>
        <v>#REF!</v>
      </c>
      <c r="N55" s="250" t="e">
        <f>SUM(K55:K63)</f>
        <v>#REF!</v>
      </c>
    </row>
    <row r="56" spans="2:14" ht="12.75">
      <c r="B56" s="48">
        <f>COUNTIF('Москва и М.О.'!B8:B425,"=1,24")</f>
        <v>0</v>
      </c>
      <c r="C56" s="45" t="e">
        <f>'Москва и М.О.'!#REF!</f>
        <v>#REF!</v>
      </c>
      <c r="D56" s="48" t="str">
        <f t="shared" si="2"/>
        <v>-----</v>
      </c>
      <c r="E56" s="49" t="e">
        <f>'Москва и М.О.'!#REF!</f>
        <v>#REF!</v>
      </c>
      <c r="F56" s="47" t="s">
        <v>89</v>
      </c>
      <c r="G56" s="48">
        <v>50</v>
      </c>
      <c r="H56" s="44" t="s">
        <v>190</v>
      </c>
      <c r="I56" s="48" t="e">
        <f>COUNTIF(#REF!,"&gt;0")</f>
        <v>#REF!</v>
      </c>
      <c r="K56" s="56" t="e">
        <f>COUNTIF(#REF!,"=5,2")</f>
        <v>#REF!</v>
      </c>
      <c r="L56" s="45" t="e">
        <f>#REF!</f>
        <v>#REF!</v>
      </c>
      <c r="M56" s="55" t="e">
        <f t="shared" si="3"/>
        <v>#REF!</v>
      </c>
      <c r="N56" s="250"/>
    </row>
    <row r="57" spans="2:14" ht="12.75">
      <c r="B57" s="48">
        <f>COUNTIF('Москва и М.О.'!B8:B425,"=1,25")</f>
        <v>0</v>
      </c>
      <c r="C57" s="45" t="e">
        <f>'Москва и М.О.'!#REF!</f>
        <v>#REF!</v>
      </c>
      <c r="D57" s="48" t="str">
        <f t="shared" si="2"/>
        <v>-----</v>
      </c>
      <c r="E57" s="49" t="e">
        <f>'Москва и М.О.'!#REF!</f>
        <v>#REF!</v>
      </c>
      <c r="F57" s="47" t="s">
        <v>208</v>
      </c>
      <c r="G57" s="48">
        <v>51</v>
      </c>
      <c r="H57" s="44" t="s">
        <v>146</v>
      </c>
      <c r="I57" s="48" t="e">
        <f>COUNTIF(#REF!,"&gt;0")</f>
        <v>#REF!</v>
      </c>
      <c r="K57" s="56" t="e">
        <f>COUNTIF(#REF!,"=5,3")</f>
        <v>#REF!</v>
      </c>
      <c r="L57" s="45" t="e">
        <f>#REF!</f>
        <v>#REF!</v>
      </c>
      <c r="M57" s="55" t="e">
        <f t="shared" si="3"/>
        <v>#REF!</v>
      </c>
      <c r="N57" s="250"/>
    </row>
    <row r="58" spans="2:14" ht="12.75">
      <c r="B58" s="48">
        <f>COUNTIF('Москва и М.О.'!B8:B425,"=1,26")</f>
        <v>0</v>
      </c>
      <c r="C58" s="45" t="e">
        <f>'Москва и М.О.'!#REF!</f>
        <v>#REF!</v>
      </c>
      <c r="D58" s="48" t="str">
        <f t="shared" si="2"/>
        <v>-----</v>
      </c>
      <c r="E58" s="49" t="e">
        <f>'Москва и М.О.'!#REF!</f>
        <v>#REF!</v>
      </c>
      <c r="G58" s="48">
        <v>52</v>
      </c>
      <c r="H58" s="44" t="s">
        <v>407</v>
      </c>
      <c r="I58" s="48" t="e">
        <f>COUNTIF(#REF!,"&gt;0")</f>
        <v>#REF!</v>
      </c>
      <c r="K58" s="56" t="e">
        <f>COUNTIF(#REF!,"=5,4")</f>
        <v>#REF!</v>
      </c>
      <c r="L58" s="45" t="e">
        <f>#REF!</f>
        <v>#REF!</v>
      </c>
      <c r="M58" s="55" t="e">
        <f t="shared" si="3"/>
        <v>#REF!</v>
      </c>
      <c r="N58" s="250"/>
    </row>
    <row r="59" spans="2:14" ht="12.75">
      <c r="B59" s="48">
        <f>COUNTIF('Москва и М.О.'!B8:B425,"=1,27")</f>
        <v>0</v>
      </c>
      <c r="C59" s="45" t="e">
        <f>'Москва и М.О.'!#REF!</f>
        <v>#REF!</v>
      </c>
      <c r="D59" s="48" t="str">
        <f t="shared" si="2"/>
        <v>-----</v>
      </c>
      <c r="E59" s="49" t="e">
        <f>'Москва и М.О.'!#REF!</f>
        <v>#REF!</v>
      </c>
      <c r="G59" s="48">
        <v>53</v>
      </c>
      <c r="H59" s="49" t="s">
        <v>148</v>
      </c>
      <c r="I59" s="48" t="e">
        <f>COUNTIF(#REF!,"&gt;0")</f>
        <v>#REF!</v>
      </c>
      <c r="K59" s="56" t="e">
        <f>COUNTIF(#REF!,"=5,5")</f>
        <v>#REF!</v>
      </c>
      <c r="L59" s="45" t="e">
        <f>#REF!</f>
        <v>#REF!</v>
      </c>
      <c r="M59" s="55" t="e">
        <f t="shared" si="3"/>
        <v>#REF!</v>
      </c>
      <c r="N59" s="250"/>
    </row>
    <row r="60" spans="2:14" ht="12.75">
      <c r="B60" s="48">
        <f>COUNTIF('Москва и М.О.'!B8:B425,"=1,28")</f>
        <v>0</v>
      </c>
      <c r="C60" s="45" t="e">
        <f>'Москва и М.О.'!#REF!</f>
        <v>#REF!</v>
      </c>
      <c r="D60" s="48" t="str">
        <f t="shared" si="2"/>
        <v>-----</v>
      </c>
      <c r="E60" s="49" t="e">
        <f>'Москва и М.О.'!#REF!</f>
        <v>#REF!</v>
      </c>
      <c r="G60" s="48">
        <v>54</v>
      </c>
      <c r="H60" s="44" t="s">
        <v>384</v>
      </c>
      <c r="I60" s="48" t="e">
        <f>COUNTIF(#REF!,"&gt;0")</f>
        <v>#REF!</v>
      </c>
      <c r="K60" s="56" t="e">
        <f>COUNTIF(#REF!,"=5,6")</f>
        <v>#REF!</v>
      </c>
      <c r="L60" s="45" t="e">
        <f>#REF!</f>
        <v>#REF!</v>
      </c>
      <c r="M60" s="55" t="e">
        <f t="shared" si="3"/>
        <v>#REF!</v>
      </c>
      <c r="N60" s="250"/>
    </row>
    <row r="61" spans="2:14" ht="12.75">
      <c r="B61" s="48">
        <f>COUNTIF('Москва и М.О.'!B8:B425,"=1,29")</f>
        <v>0</v>
      </c>
      <c r="C61" s="45" t="e">
        <f>'Москва и М.О.'!#REF!</f>
        <v>#REF!</v>
      </c>
      <c r="D61" s="48" t="str">
        <f t="shared" si="2"/>
        <v>-----</v>
      </c>
      <c r="E61" s="49" t="e">
        <f>'Москва и М.О.'!#REF!</f>
        <v>#REF!</v>
      </c>
      <c r="G61" s="48">
        <v>55</v>
      </c>
      <c r="H61" s="58" t="s">
        <v>224</v>
      </c>
      <c r="I61" s="48" t="e">
        <f>COUNTIF(#REF!,"&gt;0")</f>
        <v>#REF!</v>
      </c>
      <c r="K61" s="48" t="e">
        <f>COUNTIF(#REF!,"=5,7")</f>
        <v>#REF!</v>
      </c>
      <c r="L61" s="45" t="e">
        <f>#REF!</f>
        <v>#REF!</v>
      </c>
      <c r="M61" s="55" t="e">
        <f t="shared" si="3"/>
        <v>#REF!</v>
      </c>
      <c r="N61" s="250"/>
    </row>
    <row r="62" spans="2:14" ht="12.75">
      <c r="B62" s="48">
        <f>COUNTIF('Москва и М.О.'!B8:B425,"=1,31")</f>
        <v>115</v>
      </c>
      <c r="C62" s="45" t="e">
        <f>'Москва и М.О.'!#REF!</f>
        <v>#REF!</v>
      </c>
      <c r="D62" s="48">
        <f t="shared" si="2"/>
        <v>115</v>
      </c>
      <c r="E62" s="49" t="e">
        <f>'Москва и М.О.'!#REF!</f>
        <v>#REF!</v>
      </c>
      <c r="G62" s="48">
        <v>56</v>
      </c>
      <c r="H62" s="58" t="s">
        <v>196</v>
      </c>
      <c r="I62" s="48" t="e">
        <f>COUNTIF(#REF!,"&gt;0")</f>
        <v>#REF!</v>
      </c>
      <c r="K62" s="48" t="e">
        <f>COUNTIF(#REF!,"=5,8")</f>
        <v>#REF!</v>
      </c>
      <c r="L62" s="45" t="e">
        <f>#REF!</f>
        <v>#REF!</v>
      </c>
      <c r="M62" s="55" t="e">
        <f t="shared" si="3"/>
        <v>#REF!</v>
      </c>
      <c r="N62" s="250"/>
    </row>
    <row r="63" spans="2:14" ht="12.75">
      <c r="B63" s="48">
        <f>COUNTIF('Москва и М.О.'!B8:B425,"=1,32")</f>
        <v>0</v>
      </c>
      <c r="C63" s="45" t="e">
        <f>'Москва и М.О.'!#REF!</f>
        <v>#REF!</v>
      </c>
      <c r="D63" s="48" t="str">
        <f t="shared" si="2"/>
        <v>-----</v>
      </c>
      <c r="E63" s="49" t="e">
        <f>'Москва и М.О.'!#REF!</f>
        <v>#REF!</v>
      </c>
      <c r="G63" s="48">
        <v>57</v>
      </c>
      <c r="H63" s="44" t="s">
        <v>197</v>
      </c>
      <c r="I63" s="48" t="e">
        <f>COUNTIF(#REF!,"&gt;0")</f>
        <v>#REF!</v>
      </c>
      <c r="K63" s="55" t="e">
        <f>COUNTIF(#REF!,"=5,9")</f>
        <v>#REF!</v>
      </c>
      <c r="L63" s="45" t="e">
        <f>#REF!</f>
        <v>#REF!</v>
      </c>
      <c r="M63" s="55" t="e">
        <f t="shared" si="3"/>
        <v>#REF!</v>
      </c>
      <c r="N63" s="250"/>
    </row>
    <row r="64" spans="2:14" ht="12.75">
      <c r="B64" s="48">
        <f>COUNTIF('Москва и М.О.'!B8:B425,"=1,33")</f>
        <v>0</v>
      </c>
      <c r="C64" s="45" t="e">
        <f>'Москва и М.О.'!#REF!</f>
        <v>#REF!</v>
      </c>
      <c r="D64" s="48" t="str">
        <f t="shared" si="2"/>
        <v>-----</v>
      </c>
      <c r="E64" s="49" t="e">
        <f>'Москва и М.О.'!#REF!</f>
        <v>#REF!</v>
      </c>
      <c r="G64" s="48">
        <v>58</v>
      </c>
      <c r="H64" s="44" t="s">
        <v>292</v>
      </c>
      <c r="I64" s="48" t="e">
        <f>COUNTIF(#REF!,"&gt;0")</f>
        <v>#REF!</v>
      </c>
      <c r="K64" s="48" t="e">
        <f>COUNTIF(#REF!,"=5,11")</f>
        <v>#REF!</v>
      </c>
      <c r="L64" s="45" t="e">
        <f>#REF!</f>
        <v>#REF!</v>
      </c>
      <c r="M64" s="55" t="e">
        <f t="shared" si="3"/>
        <v>#REF!</v>
      </c>
      <c r="N64" s="250"/>
    </row>
    <row r="65" spans="2:14" ht="12.75">
      <c r="B65" s="48">
        <f>COUNTIF('Москва и М.О.'!B8:B425,"=1,34")</f>
        <v>0</v>
      </c>
      <c r="C65" s="45" t="e">
        <f>'Москва и М.О.'!#REF!</f>
        <v>#REF!</v>
      </c>
      <c r="D65" s="48" t="str">
        <f t="shared" si="2"/>
        <v>-----</v>
      </c>
      <c r="E65" s="49" t="e">
        <f>'Москва и М.О.'!#REF!</f>
        <v>#REF!</v>
      </c>
      <c r="G65" s="48">
        <v>59</v>
      </c>
      <c r="H65" s="44" t="s">
        <v>413</v>
      </c>
      <c r="I65" s="48" t="e">
        <f>COUNTIF(#REF!,"&gt;0")</f>
        <v>#REF!</v>
      </c>
      <c r="K65" s="48" t="e">
        <f>COUNTIF(#REF!,"=5,12")</f>
        <v>#REF!</v>
      </c>
      <c r="L65" s="45" t="e">
        <f>#REF!</f>
        <v>#REF!</v>
      </c>
      <c r="M65" s="55" t="e">
        <f t="shared" si="3"/>
        <v>#REF!</v>
      </c>
      <c r="N65" s="250"/>
    </row>
    <row r="66" spans="2:14" ht="12.75">
      <c r="B66" s="48">
        <f>COUNTIF('Москва и М.О.'!B$8:B$425,"=1,35")</f>
        <v>0</v>
      </c>
      <c r="C66" s="45" t="e">
        <f>'Москва и М.О.'!#REF!</f>
        <v>#REF!</v>
      </c>
      <c r="D66" s="48" t="str">
        <f t="shared" si="2"/>
        <v>-----</v>
      </c>
      <c r="E66" s="49" t="e">
        <f>'Москва и М.О.'!#REF!</f>
        <v>#REF!</v>
      </c>
      <c r="G66" s="48">
        <v>60</v>
      </c>
      <c r="H66" s="44" t="s">
        <v>123</v>
      </c>
      <c r="I66" s="48" t="e">
        <f>COUNTIF(#REF!,"&gt;0")</f>
        <v>#REF!</v>
      </c>
      <c r="K66" s="48" t="e">
        <f>COUNTIF(#REF!,"=5,13")</f>
        <v>#REF!</v>
      </c>
      <c r="L66" s="45" t="e">
        <f>#REF!</f>
        <v>#REF!</v>
      </c>
      <c r="M66" s="55" t="e">
        <f t="shared" si="3"/>
        <v>#REF!</v>
      </c>
      <c r="N66" s="250"/>
    </row>
    <row r="67" spans="2:14" ht="12.75">
      <c r="B67" s="48">
        <f>COUNTIF('Москва и М.О.'!B$8:B$425,"=1,36")</f>
        <v>0</v>
      </c>
      <c r="C67" s="45" t="e">
        <f>'Москва и М.О.'!#REF!</f>
        <v>#REF!</v>
      </c>
      <c r="D67" s="48" t="str">
        <f t="shared" si="2"/>
        <v>-----</v>
      </c>
      <c r="E67" s="49" t="e">
        <f>'Москва и М.О.'!#REF!</f>
        <v>#REF!</v>
      </c>
      <c r="G67" s="48">
        <v>61</v>
      </c>
      <c r="H67" s="44" t="s">
        <v>210</v>
      </c>
      <c r="I67" s="48" t="e">
        <f>COUNTIF(#REF!,"&gt;0")</f>
        <v>#REF!</v>
      </c>
      <c r="K67" s="48" t="e">
        <f>COUNTIF(#REF!,"=5,14")</f>
        <v>#REF!</v>
      </c>
      <c r="L67" s="45" t="e">
        <f>#REF!</f>
        <v>#REF!</v>
      </c>
      <c r="M67" s="55" t="e">
        <f t="shared" si="3"/>
        <v>#REF!</v>
      </c>
      <c r="N67" s="250"/>
    </row>
    <row r="68" spans="2:14" ht="12.75">
      <c r="B68" s="48">
        <f>COUNTIF('Москва и М.О.'!B$8:B$425,"=1,37")</f>
        <v>0</v>
      </c>
      <c r="C68" s="45" t="e">
        <f>'Москва и М.О.'!#REF!</f>
        <v>#REF!</v>
      </c>
      <c r="D68" s="48" t="str">
        <f t="shared" si="2"/>
        <v>-----</v>
      </c>
      <c r="E68" s="49" t="e">
        <f>'Москва и М.О.'!#REF!</f>
        <v>#REF!</v>
      </c>
      <c r="G68" s="48">
        <v>62</v>
      </c>
      <c r="H68" s="44" t="s">
        <v>17</v>
      </c>
      <c r="I68" s="48" t="e">
        <f>COUNTIF(#REF!,"&gt;0")</f>
        <v>#REF!</v>
      </c>
      <c r="K68" s="48" t="e">
        <f>COUNTIF(#REF!,"=5,15")</f>
        <v>#REF!</v>
      </c>
      <c r="L68" s="45" t="e">
        <f>#REF!</f>
        <v>#REF!</v>
      </c>
      <c r="M68" s="55" t="e">
        <f t="shared" si="3"/>
        <v>#REF!</v>
      </c>
      <c r="N68" s="250"/>
    </row>
    <row r="69" spans="2:14" ht="12.75">
      <c r="B69" s="48">
        <f>COUNTIF('Москва и М.О.'!B$8:B$425,"=1,38")</f>
        <v>0</v>
      </c>
      <c r="C69" s="45" t="e">
        <f>'Москва и М.О.'!#REF!</f>
        <v>#REF!</v>
      </c>
      <c r="D69" s="48" t="str">
        <f t="shared" si="2"/>
        <v>-----</v>
      </c>
      <c r="E69" s="49" t="e">
        <f>'Москва и М.О.'!#REF!</f>
        <v>#REF!</v>
      </c>
      <c r="G69" s="48">
        <v>63</v>
      </c>
      <c r="H69" s="44" t="s">
        <v>232</v>
      </c>
      <c r="I69" s="48" t="e">
        <f>COUNTIF(#REF!,"&gt;0")</f>
        <v>#REF!</v>
      </c>
      <c r="K69" s="48" t="e">
        <f>COUNTIF(#REF!,"=5,16")</f>
        <v>#REF!</v>
      </c>
      <c r="L69" s="45" t="e">
        <f>#REF!</f>
        <v>#REF!</v>
      </c>
      <c r="M69" s="55" t="e">
        <f t="shared" si="3"/>
        <v>#REF!</v>
      </c>
      <c r="N69" s="250"/>
    </row>
    <row r="70" spans="2:14" ht="12.75">
      <c r="B70" s="48">
        <f>COUNTIF('Москва и М.О.'!B$8:B$425,"=1,39")</f>
        <v>0</v>
      </c>
      <c r="C70" s="45" t="e">
        <f>'Москва и М.О.'!#REF!</f>
        <v>#REF!</v>
      </c>
      <c r="D70" s="48" t="str">
        <f t="shared" si="2"/>
        <v>-----</v>
      </c>
      <c r="E70" s="49" t="e">
        <f>'Москва и М.О.'!#REF!</f>
        <v>#REF!</v>
      </c>
      <c r="G70" s="48">
        <v>64</v>
      </c>
      <c r="H70" s="58" t="s">
        <v>233</v>
      </c>
      <c r="I70" s="48" t="e">
        <f>COUNTIF(#REF!,"&gt;0")</f>
        <v>#REF!</v>
      </c>
      <c r="K70" s="48" t="e">
        <f>COUNTIF(#REF!,"=5,17")</f>
        <v>#REF!</v>
      </c>
      <c r="L70" s="48" t="s">
        <v>12</v>
      </c>
      <c r="M70" s="55" t="e">
        <f t="shared" si="3"/>
        <v>#REF!</v>
      </c>
      <c r="N70" s="250"/>
    </row>
    <row r="71" spans="2:13" ht="12.75">
      <c r="B71" s="48">
        <f>COUNTIF('Москва и М.О.'!B$8:B$425,"=1,40")</f>
        <v>0</v>
      </c>
      <c r="C71" s="45" t="e">
        <f>'Москва и М.О.'!#REF!</f>
        <v>#REF!</v>
      </c>
      <c r="D71" s="48" t="str">
        <f t="shared" si="2"/>
        <v>-----</v>
      </c>
      <c r="E71" s="49" t="e">
        <f>'Москва и М.О.'!#REF!</f>
        <v>#REF!</v>
      </c>
      <c r="G71" s="48">
        <v>65</v>
      </c>
      <c r="H71" s="58" t="s">
        <v>377</v>
      </c>
      <c r="I71" s="48" t="e">
        <f>COUNTIF(#REF!,"&gt;0")</f>
        <v>#REF!</v>
      </c>
      <c r="M71" s="55"/>
    </row>
    <row r="72" spans="2:13" ht="12.75">
      <c r="B72" s="48">
        <f>COUNTIF('Москва и М.О.'!B$8:B$425,"=1,41")</f>
        <v>0</v>
      </c>
      <c r="C72" s="45" t="e">
        <f>'Москва и М.О.'!#REF!</f>
        <v>#REF!</v>
      </c>
      <c r="D72" s="48" t="str">
        <f t="shared" si="2"/>
        <v>-----</v>
      </c>
      <c r="E72" s="49" t="e">
        <f>'Москва и М.О.'!#REF!</f>
        <v>#REF!</v>
      </c>
      <c r="G72" s="48">
        <v>66</v>
      </c>
      <c r="H72" s="44" t="s">
        <v>378</v>
      </c>
      <c r="I72" s="48" t="e">
        <f>COUNTIF(#REF!,"&gt;0")</f>
        <v>#REF!</v>
      </c>
      <c r="M72" s="55"/>
    </row>
    <row r="73" spans="12:14" ht="12.75">
      <c r="L73" s="252" t="s">
        <v>13</v>
      </c>
      <c r="M73" s="252"/>
      <c r="N73" s="252"/>
    </row>
    <row r="74" spans="4:14" ht="12.75">
      <c r="D74" s="44"/>
      <c r="G74" s="250" t="e">
        <f>IF(I74=I4,"Ок","Ошибка")</f>
        <v>#REF!</v>
      </c>
      <c r="H74" s="251" t="s">
        <v>70</v>
      </c>
      <c r="I74" s="250" t="e">
        <f>SUM(I7:I72)</f>
        <v>#REF!</v>
      </c>
      <c r="L74" s="252"/>
      <c r="M74" s="252"/>
      <c r="N74" s="252"/>
    </row>
    <row r="75" spans="4:14" ht="18">
      <c r="D75" s="44"/>
      <c r="G75" s="250"/>
      <c r="H75" s="251"/>
      <c r="I75" s="250"/>
      <c r="J75" s="55"/>
      <c r="M75" s="50" t="s">
        <v>14</v>
      </c>
      <c r="N75" s="50" t="e">
        <f>COUNTIF(#REF!,"&gt;0")</f>
        <v>#REF!</v>
      </c>
    </row>
    <row r="76" spans="4:14" ht="18">
      <c r="D76" s="44"/>
      <c r="G76" s="250" t="e">
        <f>IF(I76=I4,"Ок","Ошибка")</f>
        <v>#REF!</v>
      </c>
      <c r="H76" s="251"/>
      <c r="I76" s="250" t="e">
        <f>SUM(H80:H121)</f>
        <v>#REF!</v>
      </c>
      <c r="J76" s="56"/>
      <c r="M76" s="52"/>
      <c r="N76" s="50"/>
    </row>
    <row r="77" spans="4:14" ht="15">
      <c r="D77" s="58"/>
      <c r="G77" s="250"/>
      <c r="H77" s="251"/>
      <c r="I77" s="250"/>
      <c r="J77" s="56"/>
      <c r="L77" s="53" t="s">
        <v>68</v>
      </c>
      <c r="M77" s="53" t="s">
        <v>242</v>
      </c>
      <c r="N77" s="53" t="s">
        <v>69</v>
      </c>
    </row>
    <row r="78" spans="4:14" ht="12.75">
      <c r="D78" s="58"/>
      <c r="J78" s="56"/>
      <c r="L78" s="48" t="s">
        <v>308</v>
      </c>
      <c r="M78" s="49" t="s">
        <v>195</v>
      </c>
      <c r="N78" s="48" t="e">
        <f>COUNTIF(#REF!,"&gt;0")</f>
        <v>#REF!</v>
      </c>
    </row>
    <row r="79" spans="4:14" ht="12.75">
      <c r="D79" s="44"/>
      <c r="F79" s="47" t="s">
        <v>69</v>
      </c>
      <c r="G79" s="48" t="s">
        <v>1</v>
      </c>
      <c r="H79" s="48" t="s">
        <v>69</v>
      </c>
      <c r="I79" s="48" t="s">
        <v>2</v>
      </c>
      <c r="J79" s="56" t="s">
        <v>144</v>
      </c>
      <c r="L79" s="48">
        <v>1</v>
      </c>
      <c r="M79" s="49" t="s">
        <v>310</v>
      </c>
      <c r="N79" s="48" t="e">
        <f>COUNTIF(#REF!,"&gt;0")</f>
        <v>#REF!</v>
      </c>
    </row>
    <row r="80" spans="4:14" ht="12.75">
      <c r="D80" s="58"/>
      <c r="F80" s="47" t="e">
        <f>COUNTIF(#REF!,"=2,1")</f>
        <v>#REF!</v>
      </c>
      <c r="G80" s="45" t="e">
        <f>#REF!</f>
        <v>#REF!</v>
      </c>
      <c r="H80" s="48" t="e">
        <f aca="true" t="shared" si="4" ref="H80:H121">IF(F80=0,"-----",F80)</f>
        <v>#REF!</v>
      </c>
      <c r="I80" s="49" t="e">
        <f>#REF!</f>
        <v>#REF!</v>
      </c>
      <c r="J80" s="56"/>
      <c r="L80" s="48">
        <v>2</v>
      </c>
      <c r="M80" s="47" t="s">
        <v>322</v>
      </c>
      <c r="N80" s="48" t="e">
        <f>COUNTIF(#REF!,"&gt;0")</f>
        <v>#REF!</v>
      </c>
    </row>
    <row r="81" spans="4:14" ht="12.75">
      <c r="D81" s="44"/>
      <c r="F81" s="47" t="e">
        <f>COUNTIF(#REF!,"=2,2")</f>
        <v>#REF!</v>
      </c>
      <c r="G81" s="45" t="e">
        <f>#REF!</f>
        <v>#REF!</v>
      </c>
      <c r="H81" s="48" t="e">
        <f t="shared" si="4"/>
        <v>#REF!</v>
      </c>
      <c r="I81" s="49" t="e">
        <f>#REF!</f>
        <v>#REF!</v>
      </c>
      <c r="J81" s="56" t="s">
        <v>293</v>
      </c>
      <c r="L81" s="48">
        <v>3</v>
      </c>
      <c r="M81" s="47" t="s">
        <v>403</v>
      </c>
      <c r="N81" s="48" t="e">
        <f>COUNTIF(#REF!,"&gt;0")</f>
        <v>#REF!</v>
      </c>
    </row>
    <row r="82" spans="4:14" ht="12.75">
      <c r="D82" s="44"/>
      <c r="F82" s="47" t="e">
        <f>COUNTIF(#REF!,"=2,3")</f>
        <v>#REF!</v>
      </c>
      <c r="G82" s="45" t="e">
        <f>#REF!</f>
        <v>#REF!</v>
      </c>
      <c r="H82" s="48" t="e">
        <f t="shared" si="4"/>
        <v>#REF!</v>
      </c>
      <c r="I82" s="49" t="e">
        <f>#REF!</f>
        <v>#REF!</v>
      </c>
      <c r="J82" s="49"/>
      <c r="L82" s="48">
        <v>4</v>
      </c>
      <c r="M82" s="47" t="s">
        <v>111</v>
      </c>
      <c r="N82" s="48" t="e">
        <f>COUNTIF(#REF!,"&gt;0")</f>
        <v>#REF!</v>
      </c>
    </row>
    <row r="83" spans="4:14" ht="12.75">
      <c r="D83" s="58"/>
      <c r="F83" s="47" t="e">
        <f>COUNTIF(#REF!,"=2,4")</f>
        <v>#REF!</v>
      </c>
      <c r="G83" s="45" t="e">
        <f>#REF!</f>
        <v>#REF!</v>
      </c>
      <c r="H83" s="48" t="e">
        <f t="shared" si="4"/>
        <v>#REF!</v>
      </c>
      <c r="I83" s="49" t="e">
        <f>#REF!</f>
        <v>#REF!</v>
      </c>
      <c r="J83" s="49" t="s">
        <v>305</v>
      </c>
      <c r="L83" s="48">
        <v>5</v>
      </c>
      <c r="M83" s="47" t="s">
        <v>172</v>
      </c>
      <c r="N83" s="48" t="e">
        <f>COUNTIF(#REF!,"&gt;0")</f>
        <v>#REF!</v>
      </c>
    </row>
    <row r="84" spans="4:14" ht="12.75">
      <c r="D84" s="44"/>
      <c r="F84" s="47" t="e">
        <f>COUNTIF(#REF!,"=2,5")</f>
        <v>#REF!</v>
      </c>
      <c r="G84" s="45" t="e">
        <f>#REF!</f>
        <v>#REF!</v>
      </c>
      <c r="H84" s="48" t="e">
        <f t="shared" si="4"/>
        <v>#REF!</v>
      </c>
      <c r="I84" s="49" t="e">
        <f>#REF!</f>
        <v>#REF!</v>
      </c>
      <c r="J84" s="49"/>
      <c r="L84" s="48">
        <v>6</v>
      </c>
      <c r="M84" s="47" t="s">
        <v>46</v>
      </c>
      <c r="N84" s="48" t="e">
        <f>COUNTIF(#REF!,"&gt;0")</f>
        <v>#REF!</v>
      </c>
    </row>
    <row r="85" spans="4:14" ht="12.75">
      <c r="D85" s="44"/>
      <c r="F85" s="47" t="e">
        <f>COUNTIF(#REF!,"=2,6")</f>
        <v>#REF!</v>
      </c>
      <c r="G85" s="45" t="e">
        <f>#REF!</f>
        <v>#REF!</v>
      </c>
      <c r="H85" s="48" t="e">
        <f t="shared" si="4"/>
        <v>#REF!</v>
      </c>
      <c r="I85" s="49" t="e">
        <f>#REF!</f>
        <v>#REF!</v>
      </c>
      <c r="J85" s="49"/>
      <c r="L85" s="48">
        <v>7</v>
      </c>
      <c r="M85" s="47" t="s">
        <v>122</v>
      </c>
      <c r="N85" s="48" t="e">
        <f>COUNTIF(#REF!,"&gt;0")</f>
        <v>#REF!</v>
      </c>
    </row>
    <row r="86" spans="4:15" ht="12.75">
      <c r="D86" s="44"/>
      <c r="F86" s="47" t="e">
        <f>COUNTIF(#REF!,"=2,7")</f>
        <v>#REF!</v>
      </c>
      <c r="G86" s="45" t="e">
        <f>#REF!</f>
        <v>#REF!</v>
      </c>
      <c r="H86" s="48" t="e">
        <f t="shared" si="4"/>
        <v>#REF!</v>
      </c>
      <c r="I86" s="49" t="e">
        <f>#REF!</f>
        <v>#REF!</v>
      </c>
      <c r="J86" s="49" t="s">
        <v>425</v>
      </c>
      <c r="L86" s="48">
        <v>8</v>
      </c>
      <c r="M86" s="47" t="s">
        <v>174</v>
      </c>
      <c r="N86" s="48" t="e">
        <f>COUNTIF(#REF!,"&gt;0")</f>
        <v>#REF!</v>
      </c>
      <c r="O86" s="55"/>
    </row>
    <row r="87" spans="4:14" ht="12.75">
      <c r="D87" s="44"/>
      <c r="F87" s="47" t="e">
        <f>COUNTIF(#REF!,"=2,8")</f>
        <v>#REF!</v>
      </c>
      <c r="G87" s="45" t="e">
        <f>#REF!</f>
        <v>#REF!</v>
      </c>
      <c r="H87" s="48" t="e">
        <f t="shared" si="4"/>
        <v>#REF!</v>
      </c>
      <c r="I87" s="49" t="e">
        <f>#REF!</f>
        <v>#REF!</v>
      </c>
      <c r="J87" s="49"/>
      <c r="L87" s="48">
        <v>9</v>
      </c>
      <c r="M87" s="47" t="s">
        <v>262</v>
      </c>
      <c r="N87" s="48" t="e">
        <f>COUNTIF(#REF!,"&gt;0")</f>
        <v>#REF!</v>
      </c>
    </row>
    <row r="88" spans="4:14" ht="12.75">
      <c r="D88" s="58"/>
      <c r="F88" s="47" t="e">
        <f>COUNTIF(#REF!,"=2,9")</f>
        <v>#REF!</v>
      </c>
      <c r="G88" s="45" t="e">
        <f>#REF!</f>
        <v>#REF!</v>
      </c>
      <c r="H88" s="48" t="e">
        <f t="shared" si="4"/>
        <v>#REF!</v>
      </c>
      <c r="I88" s="49" t="e">
        <f>#REF!</f>
        <v>#REF!</v>
      </c>
      <c r="J88" s="49"/>
      <c r="K88" s="55" t="e">
        <f>COUNTIF(#REF!,"=4,1")</f>
        <v>#REF!</v>
      </c>
      <c r="L88" s="48">
        <v>10</v>
      </c>
      <c r="M88" s="47" t="s">
        <v>391</v>
      </c>
      <c r="N88" s="48" t="e">
        <f>COUNTIF(#REF!,"&gt;0")</f>
        <v>#REF!</v>
      </c>
    </row>
    <row r="89" spans="4:13" ht="12.75">
      <c r="D89" s="44"/>
      <c r="F89" s="47" t="e">
        <f>COUNTIF(#REF!,"=2,11")</f>
        <v>#REF!</v>
      </c>
      <c r="G89" s="45" t="e">
        <f>#REF!</f>
        <v>#REF!</v>
      </c>
      <c r="H89" s="48" t="e">
        <f t="shared" si="4"/>
        <v>#REF!</v>
      </c>
      <c r="I89" s="49" t="e">
        <f>#REF!</f>
        <v>#REF!</v>
      </c>
      <c r="J89" s="49" t="s">
        <v>55</v>
      </c>
      <c r="K89" s="56" t="e">
        <f>COUNTIF(#REF!,"=4,2")</f>
        <v>#REF!</v>
      </c>
      <c r="M89" s="47"/>
    </row>
    <row r="90" spans="4:14" ht="12.75">
      <c r="D90" s="44"/>
      <c r="F90" s="47" t="e">
        <f>COUNTIF(#REF!,"=2,12")</f>
        <v>#REF!</v>
      </c>
      <c r="G90" s="45" t="e">
        <f>#REF!</f>
        <v>#REF!</v>
      </c>
      <c r="H90" s="48" t="e">
        <f t="shared" si="4"/>
        <v>#REF!</v>
      </c>
      <c r="I90" s="49" t="e">
        <f>#REF!</f>
        <v>#REF!</v>
      </c>
      <c r="J90" s="49"/>
      <c r="K90" s="56" t="e">
        <f>COUNTIF(#REF!,"=4,3")</f>
        <v>#REF!</v>
      </c>
      <c r="L90" s="48" t="s">
        <v>244</v>
      </c>
      <c r="M90" s="49" t="s">
        <v>317</v>
      </c>
      <c r="N90" s="48" t="e">
        <f>COUNTIF(#REF!,"&gt;0")</f>
        <v>#REF!</v>
      </c>
    </row>
    <row r="91" spans="4:11" ht="12.75">
      <c r="D91" s="44"/>
      <c r="F91" s="47" t="e">
        <f>COUNTIF(#REF!,"=2,13")</f>
        <v>#REF!</v>
      </c>
      <c r="G91" s="45" t="e">
        <f>#REF!</f>
        <v>#REF!</v>
      </c>
      <c r="H91" s="48" t="e">
        <f t="shared" si="4"/>
        <v>#REF!</v>
      </c>
      <c r="I91" s="49" t="e">
        <f>#REF!</f>
        <v>#REF!</v>
      </c>
      <c r="J91" s="49"/>
      <c r="K91" s="56" t="e">
        <f>COUNTIF(#REF!,"=4,4")</f>
        <v>#REF!</v>
      </c>
    </row>
    <row r="92" spans="4:14" ht="12.75">
      <c r="D92" s="58"/>
      <c r="F92" s="47" t="e">
        <f>COUNTIF(#REF!,"=2,14")</f>
        <v>#REF!</v>
      </c>
      <c r="G92" s="45" t="e">
        <f>#REF!</f>
        <v>#REF!</v>
      </c>
      <c r="H92" s="48" t="e">
        <f t="shared" si="4"/>
        <v>#REF!</v>
      </c>
      <c r="I92" s="49" t="e">
        <f>#REF!</f>
        <v>#REF!</v>
      </c>
      <c r="J92" s="49"/>
      <c r="K92" s="56" t="e">
        <f>COUNTIF(#REF!,"=4,5")</f>
        <v>#REF!</v>
      </c>
      <c r="L92" s="250" t="e">
        <f>IF(N92=N75,"Ок","Ошибка")</f>
        <v>#REF!</v>
      </c>
      <c r="M92" s="251" t="s">
        <v>70</v>
      </c>
      <c r="N92" s="250" t="e">
        <f>SUM(N79:N90)</f>
        <v>#REF!</v>
      </c>
    </row>
    <row r="93" spans="4:14" ht="12.75">
      <c r="D93" s="44"/>
      <c r="F93" s="47" t="e">
        <f>COUNTIF(#REF!,"=2,15")</f>
        <v>#REF!</v>
      </c>
      <c r="G93" s="45" t="e">
        <f>#REF!</f>
        <v>#REF!</v>
      </c>
      <c r="H93" s="48" t="e">
        <f t="shared" si="4"/>
        <v>#REF!</v>
      </c>
      <c r="I93" s="49" t="e">
        <f>#REF!</f>
        <v>#REF!</v>
      </c>
      <c r="J93" s="49"/>
      <c r="K93" s="56" t="e">
        <f>COUNTIF(#REF!,"=4,6")</f>
        <v>#REF!</v>
      </c>
      <c r="L93" s="250"/>
      <c r="M93" s="251"/>
      <c r="N93" s="250"/>
    </row>
    <row r="94" spans="4:14" ht="12.75">
      <c r="D94" s="44"/>
      <c r="F94" s="47" t="e">
        <f>COUNTIF(#REF!,"=2,16")</f>
        <v>#REF!</v>
      </c>
      <c r="G94" s="45" t="e">
        <f>#REF!</f>
        <v>#REF!</v>
      </c>
      <c r="H94" s="48" t="e">
        <f t="shared" si="4"/>
        <v>#REF!</v>
      </c>
      <c r="I94" s="49" t="e">
        <f>#REF!</f>
        <v>#REF!</v>
      </c>
      <c r="J94" s="49"/>
      <c r="K94" s="56" t="e">
        <f>COUNTIF(#REF!,"=4,7")</f>
        <v>#REF!</v>
      </c>
      <c r="L94" s="250" t="e">
        <f>IF(N94=N75,"Ок","Ошибка")</f>
        <v>#REF!</v>
      </c>
      <c r="M94" s="251"/>
      <c r="N94" s="250" t="e">
        <f>SUM(M99:M105)</f>
        <v>#REF!</v>
      </c>
    </row>
    <row r="95" spans="4:14" ht="12.75">
      <c r="D95" s="44"/>
      <c r="F95" s="47" t="e">
        <f>COUNTIF(#REF!,"=2,17")</f>
        <v>#REF!</v>
      </c>
      <c r="G95" s="45" t="e">
        <f>#REF!</f>
        <v>#REF!</v>
      </c>
      <c r="H95" s="48" t="e">
        <f t="shared" si="4"/>
        <v>#REF!</v>
      </c>
      <c r="I95" s="49" t="e">
        <f>#REF!</f>
        <v>#REF!</v>
      </c>
      <c r="J95" s="49"/>
      <c r="K95" s="48" t="e">
        <f>COUNTIF(#REF!,"=4,8")</f>
        <v>#REF!</v>
      </c>
      <c r="L95" s="250"/>
      <c r="M95" s="251"/>
      <c r="N95" s="250"/>
    </row>
    <row r="96" spans="4:13" ht="12.75">
      <c r="D96" s="58"/>
      <c r="F96" s="47" t="e">
        <f>COUNTIF(#REF!,"=2,18")</f>
        <v>#REF!</v>
      </c>
      <c r="G96" s="45" t="e">
        <f>#REF!</f>
        <v>#REF!</v>
      </c>
      <c r="H96" s="48" t="e">
        <f t="shared" si="4"/>
        <v>#REF!</v>
      </c>
      <c r="I96" s="49" t="e">
        <f>#REF!</f>
        <v>#REF!</v>
      </c>
      <c r="J96" s="49" t="s">
        <v>289</v>
      </c>
      <c r="K96" s="48" t="e">
        <f>COUNTIF(#REF!,"=4,9")</f>
        <v>#REF!</v>
      </c>
      <c r="M96" s="57"/>
    </row>
    <row r="97" spans="4:11" ht="12.75">
      <c r="D97" s="44"/>
      <c r="F97" s="47" t="e">
        <f>COUNTIF(#REF!,"=2,19")</f>
        <v>#REF!</v>
      </c>
      <c r="G97" s="45" t="e">
        <f>#REF!</f>
        <v>#REF!</v>
      </c>
      <c r="H97" s="48" t="e">
        <f t="shared" si="4"/>
        <v>#REF!</v>
      </c>
      <c r="I97" s="49" t="e">
        <f>#REF!</f>
        <v>#REF!</v>
      </c>
      <c r="J97" s="49"/>
      <c r="K97" s="48" t="e">
        <f>COUNTIF(#REF!,"=4,11")</f>
        <v>#REF!</v>
      </c>
    </row>
    <row r="98" spans="4:14" ht="12.75">
      <c r="D98" s="58"/>
      <c r="F98" s="47" t="e">
        <f>COUNTIF(#REF!,"=2,21")</f>
        <v>#REF!</v>
      </c>
      <c r="G98" s="45" t="e">
        <f>#REF!</f>
        <v>#REF!</v>
      </c>
      <c r="H98" s="48" t="e">
        <f t="shared" si="4"/>
        <v>#REF!</v>
      </c>
      <c r="I98" s="49" t="e">
        <f>#REF!</f>
        <v>#REF!</v>
      </c>
      <c r="J98" s="49" t="s">
        <v>192</v>
      </c>
      <c r="K98" s="48" t="e">
        <f>COUNTIF(#REF!,"=4,12")</f>
        <v>#REF!</v>
      </c>
      <c r="L98" s="48" t="s">
        <v>1</v>
      </c>
      <c r="M98" s="48" t="s">
        <v>15</v>
      </c>
      <c r="N98" s="48" t="s">
        <v>2</v>
      </c>
    </row>
    <row r="99" spans="4:15" ht="12.75">
      <c r="D99" s="58"/>
      <c r="F99" s="47" t="e">
        <f>COUNTIF(#REF!,"=2,22")</f>
        <v>#REF!</v>
      </c>
      <c r="G99" s="45" t="e">
        <f>#REF!</f>
        <v>#REF!</v>
      </c>
      <c r="H99" s="48" t="e">
        <f t="shared" si="4"/>
        <v>#REF!</v>
      </c>
      <c r="I99" s="49" t="e">
        <f>#REF!</f>
        <v>#REF!</v>
      </c>
      <c r="J99" s="49"/>
      <c r="K99" s="48" t="e">
        <f>COUNTIF(#REF!,"=4,13")</f>
        <v>#REF!</v>
      </c>
      <c r="L99" s="55" t="e">
        <f>#REF!</f>
        <v>#REF!</v>
      </c>
      <c r="M99" s="55" t="e">
        <f aca="true" t="shared" si="5" ref="M99:M126">IF(K88=0,"-----",K88)</f>
        <v>#REF!</v>
      </c>
      <c r="N99" s="55" t="e">
        <f>#REF!</f>
        <v>#REF!</v>
      </c>
      <c r="O99" s="47"/>
    </row>
    <row r="100" spans="4:15" ht="12.75">
      <c r="D100" s="44"/>
      <c r="F100" s="47" t="e">
        <f>COUNTIF(#REF!,"=2,23")</f>
        <v>#REF!</v>
      </c>
      <c r="G100" s="45" t="e">
        <f>#REF!</f>
        <v>#REF!</v>
      </c>
      <c r="H100" s="48" t="e">
        <f t="shared" si="4"/>
        <v>#REF!</v>
      </c>
      <c r="I100" s="49" t="e">
        <f>#REF!</f>
        <v>#REF!</v>
      </c>
      <c r="J100" s="49"/>
      <c r="K100" s="48" t="e">
        <f>COUNTIF(#REF!,"=4,14")</f>
        <v>#REF!</v>
      </c>
      <c r="L100" s="55" t="e">
        <f>#REF!</f>
        <v>#REF!</v>
      </c>
      <c r="M100" s="55" t="e">
        <f t="shared" si="5"/>
        <v>#REF!</v>
      </c>
      <c r="N100" s="55" t="e">
        <f>#REF!</f>
        <v>#REF!</v>
      </c>
      <c r="O100" s="47"/>
    </row>
    <row r="101" spans="4:15" ht="12.75">
      <c r="D101" s="44"/>
      <c r="F101" s="47" t="e">
        <f>COUNTIF(#REF!,"=2,24")</f>
        <v>#REF!</v>
      </c>
      <c r="G101" s="45" t="e">
        <f>#REF!</f>
        <v>#REF!</v>
      </c>
      <c r="H101" s="48" t="e">
        <f t="shared" si="4"/>
        <v>#REF!</v>
      </c>
      <c r="I101" s="49" t="e">
        <f>#REF!</f>
        <v>#REF!</v>
      </c>
      <c r="J101" s="49" t="s">
        <v>123</v>
      </c>
      <c r="K101" s="48" t="e">
        <f>COUNTIF(#REF!,"=4,15")</f>
        <v>#REF!</v>
      </c>
      <c r="L101" s="55" t="e">
        <f>#REF!</f>
        <v>#REF!</v>
      </c>
      <c r="M101" s="55" t="e">
        <f t="shared" si="5"/>
        <v>#REF!</v>
      </c>
      <c r="N101" s="55" t="e">
        <f>#REF!</f>
        <v>#REF!</v>
      </c>
      <c r="O101" s="47" t="s">
        <v>376</v>
      </c>
    </row>
    <row r="102" spans="4:15" ht="12.75">
      <c r="D102" s="58"/>
      <c r="F102" s="47" t="e">
        <f>COUNTIF(#REF!,"=2,25")</f>
        <v>#REF!</v>
      </c>
      <c r="G102" s="45" t="e">
        <f>#REF!</f>
        <v>#REF!</v>
      </c>
      <c r="H102" s="48" t="e">
        <f t="shared" si="4"/>
        <v>#REF!</v>
      </c>
      <c r="I102" s="49" t="e">
        <f>#REF!</f>
        <v>#REF!</v>
      </c>
      <c r="J102" s="49"/>
      <c r="K102" s="48" t="e">
        <f>COUNTIF(#REF!,"=4,16")</f>
        <v>#REF!</v>
      </c>
      <c r="L102" s="55" t="e">
        <f>#REF!</f>
        <v>#REF!</v>
      </c>
      <c r="M102" s="55" t="e">
        <f t="shared" si="5"/>
        <v>#REF!</v>
      </c>
      <c r="N102" s="55" t="e">
        <f>#REF!</f>
        <v>#REF!</v>
      </c>
      <c r="O102" s="47" t="s">
        <v>375</v>
      </c>
    </row>
    <row r="103" spans="4:15" ht="12.75">
      <c r="D103" s="44"/>
      <c r="F103" s="47" t="e">
        <f>COUNTIF(#REF!,"=2,26")</f>
        <v>#REF!</v>
      </c>
      <c r="G103" s="45" t="e">
        <f>#REF!</f>
        <v>#REF!</v>
      </c>
      <c r="H103" s="48" t="e">
        <f t="shared" si="4"/>
        <v>#REF!</v>
      </c>
      <c r="I103" s="49" t="e">
        <f>#REF!</f>
        <v>#REF!</v>
      </c>
      <c r="J103" s="49"/>
      <c r="K103" s="48" t="e">
        <f>COUNTIF(#REF!,"=4,17")</f>
        <v>#REF!</v>
      </c>
      <c r="L103" s="55" t="e">
        <f>#REF!</f>
        <v>#REF!</v>
      </c>
      <c r="M103" s="55" t="e">
        <f t="shared" si="5"/>
        <v>#REF!</v>
      </c>
      <c r="N103" s="55" t="e">
        <f>#REF!</f>
        <v>#REF!</v>
      </c>
      <c r="O103" s="47" t="s">
        <v>418</v>
      </c>
    </row>
    <row r="104" spans="4:15" ht="12.75">
      <c r="D104" s="58"/>
      <c r="F104" s="47" t="e">
        <f>COUNTIF(#REF!,"=2,27")</f>
        <v>#REF!</v>
      </c>
      <c r="G104" s="45" t="e">
        <f>#REF!</f>
        <v>#REF!</v>
      </c>
      <c r="H104" s="48" t="e">
        <f t="shared" si="4"/>
        <v>#REF!</v>
      </c>
      <c r="I104" s="49" t="e">
        <f>#REF!</f>
        <v>#REF!</v>
      </c>
      <c r="J104" s="49"/>
      <c r="K104" s="48" t="e">
        <f>COUNTIF(#REF!,"=4,18")</f>
        <v>#REF!</v>
      </c>
      <c r="L104" s="55" t="e">
        <f>#REF!</f>
        <v>#REF!</v>
      </c>
      <c r="M104" s="55" t="e">
        <f t="shared" si="5"/>
        <v>#REF!</v>
      </c>
      <c r="N104" s="55" t="e">
        <f>#REF!</f>
        <v>#REF!</v>
      </c>
      <c r="O104" s="47" t="s">
        <v>374</v>
      </c>
    </row>
    <row r="105" spans="4:15" ht="12.75">
      <c r="D105" s="44"/>
      <c r="F105" s="47" t="e">
        <f>COUNTIF(#REF!,"=2,28")</f>
        <v>#REF!</v>
      </c>
      <c r="G105" s="45" t="e">
        <f>#REF!</f>
        <v>#REF!</v>
      </c>
      <c r="H105" s="48" t="e">
        <f t="shared" si="4"/>
        <v>#REF!</v>
      </c>
      <c r="I105" s="49" t="e">
        <f>#REF!</f>
        <v>#REF!</v>
      </c>
      <c r="J105" s="49"/>
      <c r="K105" s="48" t="e">
        <f>COUNTIF(#REF!,"=4,19")</f>
        <v>#REF!</v>
      </c>
      <c r="L105" s="55" t="e">
        <f>#REF!</f>
        <v>#REF!</v>
      </c>
      <c r="M105" s="55" t="e">
        <f t="shared" si="5"/>
        <v>#REF!</v>
      </c>
      <c r="N105" s="55" t="e">
        <f>#REF!</f>
        <v>#REF!</v>
      </c>
      <c r="O105" s="47" t="s">
        <v>373</v>
      </c>
    </row>
    <row r="106" spans="4:15" ht="12.75">
      <c r="D106" s="44"/>
      <c r="F106" s="47" t="e">
        <f>COUNTIF(#REF!,"=2,29")</f>
        <v>#REF!</v>
      </c>
      <c r="G106" s="45" t="e">
        <f>#REF!</f>
        <v>#REF!</v>
      </c>
      <c r="H106" s="48" t="e">
        <f t="shared" si="4"/>
        <v>#REF!</v>
      </c>
      <c r="I106" s="49" t="e">
        <f>#REF!</f>
        <v>#REF!</v>
      </c>
      <c r="J106" s="49"/>
      <c r="K106" s="48" t="e">
        <f>COUNTIF(#REF!,"=4,21")</f>
        <v>#REF!</v>
      </c>
      <c r="L106" s="55" t="e">
        <f>#REF!</f>
        <v>#REF!</v>
      </c>
      <c r="M106" s="55" t="e">
        <f t="shared" si="5"/>
        <v>#REF!</v>
      </c>
      <c r="N106" s="55" t="e">
        <f>#REF!</f>
        <v>#REF!</v>
      </c>
      <c r="O106" s="47" t="s">
        <v>171</v>
      </c>
    </row>
    <row r="107" spans="4:15" ht="12.75">
      <c r="D107" s="58"/>
      <c r="F107" s="47" t="e">
        <f>COUNTIF(#REF!,"=2,31")</f>
        <v>#REF!</v>
      </c>
      <c r="G107" s="45" t="e">
        <f>#REF!</f>
        <v>#REF!</v>
      </c>
      <c r="H107" s="48" t="e">
        <f t="shared" si="4"/>
        <v>#REF!</v>
      </c>
      <c r="I107" s="49" t="e">
        <f>#REF!</f>
        <v>#REF!</v>
      </c>
      <c r="J107" s="49"/>
      <c r="K107" s="48" t="e">
        <f>COUNTIF(#REF!,"=4,22")</f>
        <v>#REF!</v>
      </c>
      <c r="L107" s="55" t="e">
        <f>#REF!</f>
        <v>#REF!</v>
      </c>
      <c r="M107" s="55" t="e">
        <f t="shared" si="5"/>
        <v>#REF!</v>
      </c>
      <c r="N107" s="55" t="e">
        <f>#REF!</f>
        <v>#REF!</v>
      </c>
      <c r="O107" s="47" t="s">
        <v>124</v>
      </c>
    </row>
    <row r="108" spans="4:15" ht="12.75">
      <c r="D108" s="44"/>
      <c r="F108" s="47" t="e">
        <f>COUNTIF(#REF!,"=2,32")</f>
        <v>#REF!</v>
      </c>
      <c r="G108" s="45" t="e">
        <f>#REF!</f>
        <v>#REF!</v>
      </c>
      <c r="H108" s="48" t="e">
        <f t="shared" si="4"/>
        <v>#REF!</v>
      </c>
      <c r="I108" s="49" t="e">
        <f>#REF!</f>
        <v>#REF!</v>
      </c>
      <c r="J108" s="49"/>
      <c r="K108" s="48" t="e">
        <f>COUNTIF(#REF!,"=4,23")</f>
        <v>#REF!</v>
      </c>
      <c r="L108" s="55" t="e">
        <f>#REF!</f>
        <v>#REF!</v>
      </c>
      <c r="M108" s="55" t="e">
        <f t="shared" si="5"/>
        <v>#REF!</v>
      </c>
      <c r="N108" s="55" t="e">
        <f>#REF!</f>
        <v>#REF!</v>
      </c>
      <c r="O108" s="47" t="s">
        <v>372</v>
      </c>
    </row>
    <row r="109" spans="4:15" ht="12.75">
      <c r="D109" s="44"/>
      <c r="F109" s="47" t="e">
        <f>COUNTIF(#REF!,"=2,33")</f>
        <v>#REF!</v>
      </c>
      <c r="G109" s="45" t="e">
        <f>#REF!</f>
        <v>#REF!</v>
      </c>
      <c r="H109" s="48" t="e">
        <f t="shared" si="4"/>
        <v>#REF!</v>
      </c>
      <c r="I109" s="49" t="e">
        <f>#REF!</f>
        <v>#REF!</v>
      </c>
      <c r="J109" s="49" t="s">
        <v>77</v>
      </c>
      <c r="K109" s="48" t="e">
        <f>COUNTIF(#REF!,"=4,24")</f>
        <v>#REF!</v>
      </c>
      <c r="L109" s="55" t="e">
        <f>#REF!</f>
        <v>#REF!</v>
      </c>
      <c r="M109" s="55" t="e">
        <f t="shared" si="5"/>
        <v>#REF!</v>
      </c>
      <c r="N109" s="55" t="e">
        <f>#REF!</f>
        <v>#REF!</v>
      </c>
      <c r="O109" s="47" t="s">
        <v>371</v>
      </c>
    </row>
    <row r="110" spans="4:15" ht="12.75">
      <c r="D110" s="58"/>
      <c r="F110" s="47" t="e">
        <f>COUNTIF(#REF!,"=2,34")</f>
        <v>#REF!</v>
      </c>
      <c r="G110" s="45" t="e">
        <f>#REF!</f>
        <v>#REF!</v>
      </c>
      <c r="H110" s="48" t="e">
        <f t="shared" si="4"/>
        <v>#REF!</v>
      </c>
      <c r="I110" s="49" t="e">
        <f>#REF!</f>
        <v>#REF!</v>
      </c>
      <c r="J110" s="49" t="s">
        <v>78</v>
      </c>
      <c r="K110" s="48" t="e">
        <f>COUNTIF(#REF!,"=4,25")</f>
        <v>#REF!</v>
      </c>
      <c r="L110" s="55" t="e">
        <f>#REF!</f>
        <v>#REF!</v>
      </c>
      <c r="M110" s="55" t="e">
        <f t="shared" si="5"/>
        <v>#REF!</v>
      </c>
      <c r="N110" s="55" t="e">
        <f>#REF!</f>
        <v>#REF!</v>
      </c>
      <c r="O110" s="47" t="s">
        <v>370</v>
      </c>
    </row>
    <row r="111" spans="4:15" ht="12.75">
      <c r="D111" s="44"/>
      <c r="F111" s="47" t="e">
        <f>COUNTIF(#REF!,"=2,35")</f>
        <v>#REF!</v>
      </c>
      <c r="G111" s="45" t="e">
        <f>#REF!</f>
        <v>#REF!</v>
      </c>
      <c r="H111" s="48" t="e">
        <f t="shared" si="4"/>
        <v>#REF!</v>
      </c>
      <c r="I111" s="49" t="e">
        <f>#REF!</f>
        <v>#REF!</v>
      </c>
      <c r="J111" s="49" t="s">
        <v>247</v>
      </c>
      <c r="K111" s="48" t="e">
        <f>COUNTIF(#REF!,"=4,26")</f>
        <v>#REF!</v>
      </c>
      <c r="L111" s="55" t="e">
        <f>#REF!</f>
        <v>#REF!</v>
      </c>
      <c r="M111" s="55" t="e">
        <f t="shared" si="5"/>
        <v>#REF!</v>
      </c>
      <c r="N111" s="55" t="e">
        <f>#REF!</f>
        <v>#REF!</v>
      </c>
      <c r="O111" s="47"/>
    </row>
    <row r="112" spans="4:15" ht="12.75">
      <c r="D112" s="44"/>
      <c r="F112" s="47" t="e">
        <f>COUNTIF(#REF!,"=2,36")</f>
        <v>#REF!</v>
      </c>
      <c r="G112" s="45" t="e">
        <f>#REF!</f>
        <v>#REF!</v>
      </c>
      <c r="H112" s="48" t="e">
        <f t="shared" si="4"/>
        <v>#REF!</v>
      </c>
      <c r="I112" s="49" t="e">
        <f>#REF!</f>
        <v>#REF!</v>
      </c>
      <c r="J112" s="49" t="s">
        <v>248</v>
      </c>
      <c r="K112" s="48" t="e">
        <f>COUNTIF(#REF!,"=4,27")</f>
        <v>#REF!</v>
      </c>
      <c r="L112" s="55" t="e">
        <f>#REF!</f>
        <v>#REF!</v>
      </c>
      <c r="M112" s="55" t="e">
        <f t="shared" si="5"/>
        <v>#REF!</v>
      </c>
      <c r="N112" s="55" t="e">
        <f>#REF!</f>
        <v>#REF!</v>
      </c>
      <c r="O112" s="47"/>
    </row>
    <row r="113" spans="4:15" ht="12.75">
      <c r="D113" s="44"/>
      <c r="F113" s="47" t="e">
        <f>COUNTIF(#REF!,"=2,37")</f>
        <v>#REF!</v>
      </c>
      <c r="G113" s="45" t="e">
        <f>#REF!</f>
        <v>#REF!</v>
      </c>
      <c r="H113" s="48" t="e">
        <f t="shared" si="4"/>
        <v>#REF!</v>
      </c>
      <c r="I113" s="49" t="e">
        <f>#REF!</f>
        <v>#REF!</v>
      </c>
      <c r="J113" s="49" t="s">
        <v>336</v>
      </c>
      <c r="K113" s="48" t="e">
        <f>COUNTIF(#REF!,"=4,28")</f>
        <v>#REF!</v>
      </c>
      <c r="L113" s="55" t="e">
        <f>#REF!</f>
        <v>#REF!</v>
      </c>
      <c r="M113" s="55" t="e">
        <f t="shared" si="5"/>
        <v>#REF!</v>
      </c>
      <c r="N113" s="55" t="e">
        <f>#REF!</f>
        <v>#REF!</v>
      </c>
      <c r="O113" s="47"/>
    </row>
    <row r="114" spans="4:15" ht="12.75">
      <c r="D114" s="44"/>
      <c r="F114" s="47" t="e">
        <f>COUNTIF(#REF!,"=2,38")</f>
        <v>#REF!</v>
      </c>
      <c r="G114" s="45" t="e">
        <f>#REF!</f>
        <v>#REF!</v>
      </c>
      <c r="H114" s="48" t="e">
        <f t="shared" si="4"/>
        <v>#REF!</v>
      </c>
      <c r="I114" s="49" t="e">
        <f>#REF!</f>
        <v>#REF!</v>
      </c>
      <c r="J114" s="49" t="s">
        <v>337</v>
      </c>
      <c r="K114" s="48" t="e">
        <f>COUNTIF(#REF!,"=4,29")</f>
        <v>#REF!</v>
      </c>
      <c r="L114" s="55" t="e">
        <f>#REF!</f>
        <v>#REF!</v>
      </c>
      <c r="M114" s="55" t="e">
        <f t="shared" si="5"/>
        <v>#REF!</v>
      </c>
      <c r="N114" s="55" t="e">
        <f>#REF!</f>
        <v>#REF!</v>
      </c>
      <c r="O114" s="47"/>
    </row>
    <row r="115" spans="4:15" ht="12.75">
      <c r="D115" s="44"/>
      <c r="F115" s="47" t="e">
        <f>COUNTIF(#REF!,"=2,39")</f>
        <v>#REF!</v>
      </c>
      <c r="G115" s="45" t="e">
        <f>#REF!</f>
        <v>#REF!</v>
      </c>
      <c r="H115" s="48" t="e">
        <f t="shared" si="4"/>
        <v>#REF!</v>
      </c>
      <c r="I115" s="49" t="e">
        <f>#REF!</f>
        <v>#REF!</v>
      </c>
      <c r="J115" s="49"/>
      <c r="K115" s="48" t="e">
        <f>COUNTIF(#REF!,"=4,31")</f>
        <v>#REF!</v>
      </c>
      <c r="L115" s="55" t="e">
        <f>#REF!</f>
        <v>#REF!</v>
      </c>
      <c r="M115" s="55" t="e">
        <f t="shared" si="5"/>
        <v>#REF!</v>
      </c>
      <c r="N115" s="55" t="e">
        <f>#REF!</f>
        <v>#REF!</v>
      </c>
      <c r="O115" s="47"/>
    </row>
    <row r="116" spans="4:15" ht="12.75">
      <c r="D116" s="44"/>
      <c r="F116" s="47" t="e">
        <f>COUNTIF(#REF!,"=2,41")</f>
        <v>#REF!</v>
      </c>
      <c r="G116" s="45" t="e">
        <f>#REF!</f>
        <v>#REF!</v>
      </c>
      <c r="H116" s="48" t="e">
        <f t="shared" si="4"/>
        <v>#REF!</v>
      </c>
      <c r="I116" s="49" t="e">
        <f>#REF!</f>
        <v>#REF!</v>
      </c>
      <c r="J116" s="49"/>
      <c r="L116" s="55" t="e">
        <f>#REF!</f>
        <v>#REF!</v>
      </c>
      <c r="M116" s="55" t="e">
        <f t="shared" si="5"/>
        <v>#REF!</v>
      </c>
      <c r="N116" s="55" t="e">
        <f>#REF!</f>
        <v>#REF!</v>
      </c>
      <c r="O116" s="47"/>
    </row>
    <row r="117" spans="4:15" ht="12.75">
      <c r="D117" s="44"/>
      <c r="F117" s="47" t="e">
        <f>COUNTIF(#REF!,"=2,42")</f>
        <v>#REF!</v>
      </c>
      <c r="G117" s="45" t="e">
        <f>#REF!</f>
        <v>#REF!</v>
      </c>
      <c r="H117" s="48" t="e">
        <f t="shared" si="4"/>
        <v>#REF!</v>
      </c>
      <c r="I117" s="49" t="e">
        <f>#REF!</f>
        <v>#REF!</v>
      </c>
      <c r="J117" s="49"/>
      <c r="L117" s="55" t="e">
        <f>#REF!</f>
        <v>#REF!</v>
      </c>
      <c r="M117" s="55" t="e">
        <f t="shared" si="5"/>
        <v>#REF!</v>
      </c>
      <c r="N117" s="55" t="e">
        <f>#REF!</f>
        <v>#REF!</v>
      </c>
      <c r="O117" s="47"/>
    </row>
    <row r="118" spans="6:15" ht="12.75">
      <c r="F118" s="47" t="e">
        <f>COUNTIF(#REF!,"=2,43")</f>
        <v>#REF!</v>
      </c>
      <c r="G118" s="45" t="e">
        <f>#REF!</f>
        <v>#REF!</v>
      </c>
      <c r="H118" s="48" t="e">
        <f t="shared" si="4"/>
        <v>#REF!</v>
      </c>
      <c r="I118" s="49" t="e">
        <f>#REF!</f>
        <v>#REF!</v>
      </c>
      <c r="J118" s="49"/>
      <c r="L118" s="55" t="e">
        <f>#REF!</f>
        <v>#REF!</v>
      </c>
      <c r="M118" s="55" t="e">
        <f t="shared" si="5"/>
        <v>#REF!</v>
      </c>
      <c r="N118" s="55" t="e">
        <f>#REF!</f>
        <v>#REF!</v>
      </c>
      <c r="O118" s="47"/>
    </row>
    <row r="119" spans="4:15" ht="12.75">
      <c r="D119" s="44"/>
      <c r="F119" s="47" t="e">
        <f>COUNTIF(#REF!,"=2,44")</f>
        <v>#REF!</v>
      </c>
      <c r="G119" s="45" t="e">
        <f>#REF!</f>
        <v>#REF!</v>
      </c>
      <c r="H119" s="48" t="e">
        <f t="shared" si="4"/>
        <v>#REF!</v>
      </c>
      <c r="I119" s="49" t="e">
        <f>#REF!</f>
        <v>#REF!</v>
      </c>
      <c r="J119" s="49"/>
      <c r="L119" s="55" t="e">
        <f>#REF!</f>
        <v>#REF!</v>
      </c>
      <c r="M119" s="55" t="e">
        <f t="shared" si="5"/>
        <v>#REF!</v>
      </c>
      <c r="N119" s="55" t="e">
        <f>#REF!</f>
        <v>#REF!</v>
      </c>
      <c r="O119" s="47"/>
    </row>
    <row r="120" spans="4:15" ht="12.75">
      <c r="D120" s="58"/>
      <c r="F120" s="47" t="e">
        <f>COUNTIF(#REF!,"=2,45")</f>
        <v>#REF!</v>
      </c>
      <c r="G120" s="45" t="e">
        <f>#REF!</f>
        <v>#REF!</v>
      </c>
      <c r="H120" s="48" t="e">
        <f t="shared" si="4"/>
        <v>#REF!</v>
      </c>
      <c r="I120" s="49" t="e">
        <f>#REF!</f>
        <v>#REF!</v>
      </c>
      <c r="J120" s="49"/>
      <c r="L120" s="55" t="e">
        <f>#REF!</f>
        <v>#REF!</v>
      </c>
      <c r="M120" s="55" t="e">
        <f t="shared" si="5"/>
        <v>#REF!</v>
      </c>
      <c r="N120" s="55" t="e">
        <f>#REF!</f>
        <v>#REF!</v>
      </c>
      <c r="O120" s="47"/>
    </row>
    <row r="121" spans="4:15" ht="12.75">
      <c r="D121" s="44"/>
      <c r="F121" s="47" t="e">
        <f>COUNTIF(#REF!,"=2,46")</f>
        <v>#REF!</v>
      </c>
      <c r="G121" s="45" t="e">
        <f>#REF!</f>
        <v>#REF!</v>
      </c>
      <c r="H121" s="48" t="e">
        <f t="shared" si="4"/>
        <v>#REF!</v>
      </c>
      <c r="I121" s="49" t="e">
        <f>#REF!</f>
        <v>#REF!</v>
      </c>
      <c r="L121" s="55" t="e">
        <f>#REF!</f>
        <v>#REF!</v>
      </c>
      <c r="M121" s="55" t="e">
        <f t="shared" si="5"/>
        <v>#REF!</v>
      </c>
      <c r="N121" s="55" t="e">
        <f>#REF!</f>
        <v>#REF!</v>
      </c>
      <c r="O121" s="47"/>
    </row>
    <row r="122" spans="4:15" ht="12.75">
      <c r="D122" s="44"/>
      <c r="G122" s="45"/>
      <c r="H122" s="48"/>
      <c r="L122" s="55" t="e">
        <f>#REF!</f>
        <v>#REF!</v>
      </c>
      <c r="M122" s="55" t="e">
        <f t="shared" si="5"/>
        <v>#REF!</v>
      </c>
      <c r="N122" s="55" t="e">
        <f>#REF!</f>
        <v>#REF!</v>
      </c>
      <c r="O122" s="47"/>
    </row>
    <row r="123" spans="4:15" ht="12.75">
      <c r="D123" s="44"/>
      <c r="G123" s="45"/>
      <c r="H123" s="48"/>
      <c r="L123" s="55" t="e">
        <f>#REF!</f>
        <v>#REF!</v>
      </c>
      <c r="M123" s="55" t="e">
        <f t="shared" si="5"/>
        <v>#REF!</v>
      </c>
      <c r="N123" s="55" t="e">
        <f>#REF!</f>
        <v>#REF!</v>
      </c>
      <c r="O123" s="47"/>
    </row>
    <row r="124" spans="4:15" ht="12.75">
      <c r="D124" s="44"/>
      <c r="G124" s="45"/>
      <c r="H124" s="48"/>
      <c r="L124" s="55" t="e">
        <f>#REF!</f>
        <v>#REF!</v>
      </c>
      <c r="M124" s="55" t="e">
        <f t="shared" si="5"/>
        <v>#REF!</v>
      </c>
      <c r="N124" s="55" t="e">
        <f>#REF!</f>
        <v>#REF!</v>
      </c>
      <c r="O124" s="47"/>
    </row>
    <row r="125" spans="4:15" ht="12.75">
      <c r="D125" s="44"/>
      <c r="G125" s="45"/>
      <c r="H125" s="48"/>
      <c r="L125" s="55" t="e">
        <f>#REF!</f>
        <v>#REF!</v>
      </c>
      <c r="M125" s="55" t="e">
        <f t="shared" si="5"/>
        <v>#REF!</v>
      </c>
      <c r="N125" s="55" t="e">
        <f>#REF!</f>
        <v>#REF!</v>
      </c>
      <c r="O125" s="47"/>
    </row>
    <row r="126" spans="4:15" ht="12.75">
      <c r="D126" s="44"/>
      <c r="G126" s="45"/>
      <c r="H126" s="48"/>
      <c r="L126" s="55" t="e">
        <f>#REF!</f>
        <v>#REF!</v>
      </c>
      <c r="M126" s="55" t="e">
        <f t="shared" si="5"/>
        <v>#REF!</v>
      </c>
      <c r="N126" s="55" t="e">
        <f>#REF!</f>
        <v>#REF!</v>
      </c>
      <c r="O126" s="47"/>
    </row>
    <row r="127" spans="4:13" ht="12.75">
      <c r="D127" s="44"/>
      <c r="G127" s="45"/>
      <c r="H127" s="48"/>
      <c r="L127" s="55"/>
      <c r="M127" s="55"/>
    </row>
    <row r="128" spans="4:12" ht="12.75">
      <c r="D128" s="44"/>
      <c r="L128" s="55"/>
    </row>
  </sheetData>
  <sheetProtection password="CC3D" sheet="1" objects="1" scenarios="1" selectLockedCells="1" selectUnlockedCells="1"/>
  <mergeCells count="29">
    <mergeCell ref="G2:I3"/>
    <mergeCell ref="C2:E3"/>
    <mergeCell ref="L34:N35"/>
    <mergeCell ref="L51:L52"/>
    <mergeCell ref="M51:M52"/>
    <mergeCell ref="N51:N52"/>
    <mergeCell ref="N19:N20"/>
    <mergeCell ref="L2:N3"/>
    <mergeCell ref="L17:L18"/>
    <mergeCell ref="E31:E32"/>
    <mergeCell ref="C31:C32"/>
    <mergeCell ref="C29:C30"/>
    <mergeCell ref="E29:E30"/>
    <mergeCell ref="N92:N93"/>
    <mergeCell ref="M92:M95"/>
    <mergeCell ref="N17:N18"/>
    <mergeCell ref="H74:H77"/>
    <mergeCell ref="I76:I77"/>
    <mergeCell ref="M17:M20"/>
    <mergeCell ref="L19:L20"/>
    <mergeCell ref="L94:L95"/>
    <mergeCell ref="G76:G77"/>
    <mergeCell ref="G74:G75"/>
    <mergeCell ref="I74:I75"/>
    <mergeCell ref="L92:L93"/>
    <mergeCell ref="D29:D32"/>
    <mergeCell ref="L73:N74"/>
    <mergeCell ref="N55:N70"/>
    <mergeCell ref="N94:N9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ион</cp:lastModifiedBy>
  <cp:lastPrinted>2013-05-15T09:30:15Z</cp:lastPrinted>
  <dcterms:created xsi:type="dcterms:W3CDTF">2010-12-22T12:53:08Z</dcterms:created>
  <dcterms:modified xsi:type="dcterms:W3CDTF">2014-01-07T18:07:55Z</dcterms:modified>
  <cp:category/>
  <cp:version/>
  <cp:contentType/>
  <cp:contentStatus/>
</cp:coreProperties>
</file>